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nas\01. Офис\08. Отдел закупок\Закупки\!!!ТОРГИ 2026!!!\10. Октябрь\в работе\39547 Конкурс СУБПОДРЯД - 71 332 381,65 руб\"/>
    </mc:Choice>
  </mc:AlternateContent>
  <xr:revisionPtr revIDLastSave="0" documentId="13_ncr:1_{EAD1B55D-0F5C-41DF-96C9-77490DE0164C}" xr6:coauthVersionLast="47" xr6:coauthVersionMax="47" xr10:uidLastSave="{00000000-0000-0000-0000-000000000000}"/>
  <bookViews>
    <workbookView xWindow="1590" yWindow="390" windowWidth="20145" windowHeight="20865" tabRatio="500" xr2:uid="{00000000-000D-0000-FFFF-FFFF00000000}"/>
  </bookViews>
  <sheets>
    <sheet name="Расчет" sheetId="1" r:id="rId1"/>
    <sheet name="Лист1" sheetId="2" r:id="rId2"/>
  </sheets>
  <definedNames>
    <definedName name="Print_Titles" localSheetId="0">Расчет!$12:$12</definedName>
    <definedName name="_xlnm.Print_Area" localSheetId="0">Расчет!$A$1:$G$53</definedName>
  </definedNames>
  <calcPr calcId="191029" iterateDelta="1E-4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smNativeData">
      <pm:revision xmlns:pm="smNativeData" day="1782988590" val="1224" rev="124" rev64="64" revOS="3" revMin="124" revMax="0"/>
      <pm:docPrefs xmlns:pm="smNativeData" id="1782988590" fixedDigits="0" showNotice="1" showFrameBounds="1" autoChart="1" recalcOnPrint="1" recalcOnCopy="1" finalRounding="1" compatTextArt="1" tab="567" useDefinedPrintRange="1" printArea="currentSheet"/>
      <pm:compatibility xmlns:pm="smNativeData" id="1782988590" overlapCells="1"/>
      <pm:defCurrency xmlns:pm="smNativeData" id="1782988590"/>
    </ext>
  </extLst>
</workbook>
</file>

<file path=xl/calcChain.xml><?xml version="1.0" encoding="utf-8"?>
<calcChain xmlns="http://schemas.openxmlformats.org/spreadsheetml/2006/main">
  <c r="I40" i="1" l="1"/>
  <c r="G41" i="1"/>
  <c r="G42" i="1" s="1"/>
  <c r="I41" i="1"/>
  <c r="N41" i="1"/>
  <c r="N42" i="1" s="1"/>
  <c r="Q41" i="1"/>
  <c r="Q42" i="1" s="1"/>
  <c r="T41" i="1"/>
  <c r="T42" i="1" s="1"/>
  <c r="W41" i="1"/>
  <c r="W42" i="1" s="1"/>
  <c r="Y41" i="1"/>
  <c r="I42" i="1"/>
  <c r="I43" i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I47" i="1"/>
  <c r="I46" i="1"/>
  <c r="I45" i="1"/>
  <c r="I44" i="1"/>
  <c r="I39" i="1"/>
  <c r="V38" i="1"/>
  <c r="Y38" i="1" s="1"/>
  <c r="T38" i="1"/>
  <c r="T39" i="1" s="1"/>
  <c r="Q38" i="1"/>
  <c r="Q39" i="1" s="1"/>
  <c r="N38" i="1"/>
  <c r="I38" i="1"/>
  <c r="G38" i="1"/>
  <c r="G39" i="1" s="1"/>
  <c r="I37" i="1"/>
  <c r="I36" i="1"/>
  <c r="V35" i="1"/>
  <c r="T35" i="1"/>
  <c r="Q35" i="1"/>
  <c r="N35" i="1"/>
  <c r="I35" i="1"/>
  <c r="G35" i="1"/>
  <c r="V34" i="1"/>
  <c r="W34" i="1" s="1"/>
  <c r="T34" i="1"/>
  <c r="Q34" i="1"/>
  <c r="N34" i="1"/>
  <c r="I34" i="1"/>
  <c r="G34" i="1"/>
  <c r="V33" i="1"/>
  <c r="Y33" i="1" s="1"/>
  <c r="T33" i="1"/>
  <c r="Q33" i="1"/>
  <c r="N33" i="1"/>
  <c r="I33" i="1"/>
  <c r="G33" i="1"/>
  <c r="V32" i="1"/>
  <c r="Y32" i="1" s="1"/>
  <c r="T32" i="1"/>
  <c r="Q32" i="1"/>
  <c r="N32" i="1"/>
  <c r="I32" i="1"/>
  <c r="G32" i="1"/>
  <c r="V31" i="1"/>
  <c r="T31" i="1"/>
  <c r="Q31" i="1"/>
  <c r="N31" i="1"/>
  <c r="I31" i="1"/>
  <c r="G31" i="1"/>
  <c r="V30" i="1"/>
  <c r="W30" i="1" s="1"/>
  <c r="T30" i="1"/>
  <c r="Q30" i="1"/>
  <c r="N30" i="1"/>
  <c r="I30" i="1"/>
  <c r="G30" i="1"/>
  <c r="V29" i="1"/>
  <c r="Y29" i="1" s="1"/>
  <c r="T29" i="1"/>
  <c r="Q29" i="1"/>
  <c r="N29" i="1"/>
  <c r="I29" i="1"/>
  <c r="G29" i="1"/>
  <c r="V28" i="1"/>
  <c r="Y28" i="1" s="1"/>
  <c r="T28" i="1"/>
  <c r="Q28" i="1"/>
  <c r="N28" i="1"/>
  <c r="I28" i="1"/>
  <c r="G28" i="1"/>
  <c r="V27" i="1"/>
  <c r="T27" i="1"/>
  <c r="Q27" i="1"/>
  <c r="N27" i="1"/>
  <c r="I27" i="1"/>
  <c r="G27" i="1"/>
  <c r="V26" i="1"/>
  <c r="Y26" i="1" s="1"/>
  <c r="T26" i="1"/>
  <c r="Q26" i="1"/>
  <c r="N26" i="1"/>
  <c r="I26" i="1"/>
  <c r="G26" i="1"/>
  <c r="V25" i="1"/>
  <c r="Y25" i="1" s="1"/>
  <c r="T25" i="1"/>
  <c r="Q25" i="1"/>
  <c r="N25" i="1"/>
  <c r="I25" i="1"/>
  <c r="G25" i="1"/>
  <c r="V24" i="1"/>
  <c r="Y24" i="1" s="1"/>
  <c r="T24" i="1"/>
  <c r="Q24" i="1"/>
  <c r="N24" i="1"/>
  <c r="I24" i="1"/>
  <c r="G24" i="1"/>
  <c r="V23" i="1"/>
  <c r="Y23" i="1" s="1"/>
  <c r="T23" i="1"/>
  <c r="Q23" i="1"/>
  <c r="N23" i="1"/>
  <c r="I23" i="1"/>
  <c r="G23" i="1"/>
  <c r="I22" i="1"/>
  <c r="I21" i="1"/>
  <c r="I20" i="1"/>
  <c r="Y19" i="1"/>
  <c r="W19" i="1"/>
  <c r="T19" i="1"/>
  <c r="Q19" i="1"/>
  <c r="N19" i="1"/>
  <c r="I19" i="1"/>
  <c r="G19" i="1"/>
  <c r="Y18" i="1"/>
  <c r="T18" i="1"/>
  <c r="Q18" i="1"/>
  <c r="N18" i="1"/>
  <c r="I18" i="1"/>
  <c r="G18" i="1"/>
  <c r="Y17" i="1"/>
  <c r="W17" i="1"/>
  <c r="T17" i="1"/>
  <c r="N17" i="1"/>
  <c r="I17" i="1"/>
  <c r="G17" i="1"/>
  <c r="Z16" i="1"/>
  <c r="Y16" i="1"/>
  <c r="I16" i="1"/>
  <c r="I15" i="1"/>
  <c r="G15" i="1"/>
  <c r="Z41" i="1" l="1"/>
  <c r="Z42" i="1" s="1"/>
  <c r="W26" i="1"/>
  <c r="Z26" i="1" s="1"/>
  <c r="Y34" i="1"/>
  <c r="Z34" i="1"/>
  <c r="W24" i="1"/>
  <c r="Z24" i="1" s="1"/>
  <c r="Z19" i="1"/>
  <c r="W32" i="1"/>
  <c r="Z32" i="1" s="1"/>
  <c r="W15" i="1"/>
  <c r="W23" i="1"/>
  <c r="Z23" i="1" s="1"/>
  <c r="G20" i="1"/>
  <c r="G36" i="1"/>
  <c r="G43" i="1" s="1"/>
  <c r="Y30" i="1"/>
  <c r="Z18" i="1"/>
  <c r="W28" i="1"/>
  <c r="Z28" i="1" s="1"/>
  <c r="T20" i="1"/>
  <c r="N15" i="1"/>
  <c r="N20" i="1" s="1"/>
  <c r="Q36" i="1"/>
  <c r="Q43" i="1" s="1"/>
  <c r="Z17" i="1"/>
  <c r="T36" i="1"/>
  <c r="T43" i="1" s="1"/>
  <c r="Z30" i="1"/>
  <c r="Y35" i="1"/>
  <c r="W35" i="1"/>
  <c r="Z35" i="1" s="1"/>
  <c r="Q20" i="1"/>
  <c r="Y31" i="1"/>
  <c r="W31" i="1"/>
  <c r="Z31" i="1" s="1"/>
  <c r="W25" i="1"/>
  <c r="Y27" i="1"/>
  <c r="W27" i="1"/>
  <c r="Z27" i="1" s="1"/>
  <c r="W33" i="1"/>
  <c r="Z33" i="1" s="1"/>
  <c r="W29" i="1"/>
  <c r="Z29" i="1" s="1"/>
  <c r="N36" i="1"/>
  <c r="W38" i="1"/>
  <c r="W39" i="1" s="1"/>
  <c r="N39" i="1"/>
  <c r="G44" i="1" l="1"/>
  <c r="N43" i="1"/>
  <c r="N44" i="1" s="1"/>
  <c r="N45" i="1" s="1"/>
  <c r="N46" i="1" s="1"/>
  <c r="N47" i="1" s="1"/>
  <c r="W20" i="1"/>
  <c r="T44" i="1"/>
  <c r="T45" i="1" s="1"/>
  <c r="T46" i="1" s="1"/>
  <c r="T47" i="1" s="1"/>
  <c r="T50" i="1" s="1"/>
  <c r="Q44" i="1"/>
  <c r="Q46" i="1" s="1"/>
  <c r="Q47" i="1" s="1"/>
  <c r="Z15" i="1"/>
  <c r="W36" i="1"/>
  <c r="W43" i="1" s="1"/>
  <c r="Z25" i="1"/>
  <c r="Z36" i="1" s="1"/>
  <c r="Z38" i="1"/>
  <c r="Z39" i="1" s="1"/>
  <c r="Z43" i="1" l="1"/>
  <c r="Z20" i="1"/>
  <c r="W44" i="1"/>
  <c r="W45" i="1" s="1"/>
  <c r="W46" i="1" s="1"/>
  <c r="W47" i="1" s="1"/>
  <c r="W50" i="1" s="1"/>
  <c r="O47" i="1"/>
  <c r="N50" i="1"/>
  <c r="G45" i="1"/>
  <c r="G46" i="1" s="1"/>
  <c r="G47" i="1" s="1"/>
  <c r="G48" i="1" s="1"/>
  <c r="G49" i="1" s="1"/>
  <c r="G50" i="1" s="1"/>
  <c r="Z44" i="1" l="1"/>
</calcChain>
</file>

<file path=xl/sharedStrings.xml><?xml version="1.0" encoding="utf-8"?>
<sst xmlns="http://schemas.openxmlformats.org/spreadsheetml/2006/main" count="89" uniqueCount="74">
  <si>
    <t>УТВЕРЖДЕН</t>
  </si>
  <si>
    <t>приказом ГКУ "Дорожная дирекция ЯНАО"</t>
  </si>
  <si>
    <t xml:space="preserve">от _____________ 2025 г. </t>
  </si>
  <si>
    <t>№ ____________</t>
  </si>
  <si>
    <t>___________________В.А. Горбунов</t>
  </si>
  <si>
    <t>Ведомость объемов и стоимости выполнения работ</t>
  </si>
  <si>
    <t>по содержанию автомобильной дороги  Сургут - Салехард, участок Коротчаево - Новый Уренгой</t>
  </si>
  <si>
    <t>№ п.п.</t>
  </si>
  <si>
    <t>Наименование работ</t>
  </si>
  <si>
    <t>Ед. изм.</t>
  </si>
  <si>
    <t>Объём работ на период</t>
  </si>
  <si>
    <t>Кол-во мес. в период (Циклич-ность за год)</t>
  </si>
  <si>
    <t>Укрупненный сметный норматив в текущих ценах на момент составления сметной докумен-  тации, руб.</t>
  </si>
  <si>
    <t>Всего, руб.</t>
  </si>
  <si>
    <t>Укрупненный сметный    норматив в текущих ценах на момент составления сметной докумен-  тации, руб.</t>
  </si>
  <si>
    <t>Работы по ГК 678</t>
  </si>
  <si>
    <t>Выполненные работы по                    ГК 678 с 11.11.2025 по 18.06.2026</t>
  </si>
  <si>
    <t>Работы с 18.06.2026 по 31.07.2026</t>
  </si>
  <si>
    <t>Работы с 01.08.2026 по 10.11.2026</t>
  </si>
  <si>
    <t>Остаток</t>
  </si>
  <si>
    <t>1</t>
  </si>
  <si>
    <t>2</t>
  </si>
  <si>
    <t>3</t>
  </si>
  <si>
    <t>4</t>
  </si>
  <si>
    <t>5</t>
  </si>
  <si>
    <t>6</t>
  </si>
  <si>
    <t>7</t>
  </si>
  <si>
    <t>11</t>
  </si>
  <si>
    <t>Глава 1. Нормативные работы</t>
  </si>
  <si>
    <t>км в мес.</t>
  </si>
  <si>
    <t xml:space="preserve">Нормативное содержание автомобильной дороги  в зимний период                                                                            </t>
  </si>
  <si>
    <t>Нормативные всесезонные работы на мостах</t>
  </si>
  <si>
    <t>Текущий осмотр железобетонных мостов</t>
  </si>
  <si>
    <t xml:space="preserve">осмотр 1 моста </t>
  </si>
  <si>
    <t>Текущий осмотр металлических мостов</t>
  </si>
  <si>
    <t>Периодический осмотр мостов</t>
  </si>
  <si>
    <t>Итого нормативные работы</t>
  </si>
  <si>
    <t>Глава 2. Объемные работы</t>
  </si>
  <si>
    <t>Объемные работы всесезонные на автомобильной дороге (часть 1)</t>
  </si>
  <si>
    <t>Восстановление целостности лицевой поверхности дорожного знака</t>
  </si>
  <si>
    <t>шт.</t>
  </si>
  <si>
    <t xml:space="preserve">Установка щитков дорожных знаков </t>
  </si>
  <si>
    <t xml:space="preserve">Установка щитков дорожных знаков на желто-зелёном флуоресцентном фоне 900*900 мм </t>
  </si>
  <si>
    <t>Замена пластиковых сигнальных столбиков тип С1</t>
  </si>
  <si>
    <t>Установка недостающих пластиковых сигнальных столбиков тип С1</t>
  </si>
  <si>
    <t>Замена световозвращающих элементов на ограждениях</t>
  </si>
  <si>
    <t>м.п</t>
  </si>
  <si>
    <t>Обозначение брошенных транспортных средств знаком индивидуального проектирования  на желто-зелёном флуоресцентном фоне с аварийным маяком светодиодным (автономного питания), 1000мм*1600мм</t>
  </si>
  <si>
    <t>Установка знаков индивидуального проектирования на двух металлических стойках d-76 мм, толщ стенки 3,5мм, длина 4м</t>
  </si>
  <si>
    <t>м2</t>
  </si>
  <si>
    <t>Устранение деформаций и повреждений асфальтобетонного покрытия холодной асфальтобетонной смесью на полимерномодифицированном битуме толщиной 7см с разломкой старого покрытия (ямочный ремонт)</t>
  </si>
  <si>
    <t>Итого объемные работы всесезонные на автомобильной дороге (часть 1)</t>
  </si>
  <si>
    <t>Объемные работы всесезонные на автомобильной дороге (часть 2)</t>
  </si>
  <si>
    <t>Установка недостающих секций барьерного ограждения марки 11ДО 2.0-190 кДж,У2 толщиной балки 4мм (оцинкованное) шаг стоек 2 метра</t>
  </si>
  <si>
    <t>Итого объемные работы всесезонные на автомобильной дороге (часть 2)</t>
  </si>
  <si>
    <t>м.п.</t>
  </si>
  <si>
    <t>Объемные работы в зимний период на автомобильной дороге</t>
  </si>
  <si>
    <t>Очистка труб от снега и льда (пропаривание труб)</t>
  </si>
  <si>
    <t>Итого объемные работы в зимний период на автомобильной дороге</t>
  </si>
  <si>
    <t>Итого объемные работы</t>
  </si>
  <si>
    <t>Итого по разделам</t>
  </si>
  <si>
    <t>Резерв средств на непредвиденные работы и затраты 1,5%</t>
  </si>
  <si>
    <t>2026-2027 гг.</t>
  </si>
  <si>
    <t xml:space="preserve">Замена щитков дорожных знаков на желто-зелёном флуоресцентном фоне </t>
  </si>
  <si>
    <t>Замена стоек дорожных знаков (оцинкованных) d-76 мм, толщ стенки 3,5мм, длина 4м</t>
  </si>
  <si>
    <t xml:space="preserve">Установка дорожных знаков на металлических стойках (оцинкованных) на желто-зелёном флуоресцентном фоне 900*900 мм </t>
  </si>
  <si>
    <t xml:space="preserve">Замена поврежденных секций барьерного ограждения марки 11ДО 2.0-190 кДж,У2 толщиной балки 4мм (оцинкованное) шаг стоек 2 метра </t>
  </si>
  <si>
    <r>
      <t>Итого по расчету (С</t>
    </r>
    <r>
      <rPr>
        <b/>
        <vertAlign val="subscript"/>
        <sz val="11"/>
        <color rgb="FF000000"/>
        <rFont val="Liberation Sans"/>
        <charset val="204"/>
      </rPr>
      <t>2026-2027</t>
    </r>
    <r>
      <rPr>
        <b/>
        <sz val="11"/>
        <color rgb="FF000000"/>
        <rFont val="Liberation Sans"/>
        <family val="1"/>
      </rPr>
      <t>)</t>
    </r>
  </si>
  <si>
    <r>
      <t>Индекс-дефлятор К</t>
    </r>
    <r>
      <rPr>
        <vertAlign val="subscript"/>
        <sz val="12"/>
        <rFont val="Liberation Sans"/>
        <family val="1"/>
      </rPr>
      <t>деф.2026-2027</t>
    </r>
  </si>
  <si>
    <t>Место выполнения работ: Сургут – Салехард, участок Коротчаево - Новый Уренгой км 674+257 - км 715+265</t>
  </si>
  <si>
    <t>Договорной коэффициент</t>
  </si>
  <si>
    <t>Итого с НДС-22%</t>
  </si>
  <si>
    <t>в т.ч. НДС-22%</t>
  </si>
  <si>
    <t>Приложение №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</si>
</sst>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_р_._-;\-* #,##0_р_._-;_-* &quot;-&quot;_р_._-;_-@_-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00000_р_._-;\-* #,##0.000000_р_._-;_-* &quot;-&quot;??_р_._-;_-@_-"/>
    <numFmt numFmtId="168" formatCode="#,##0_ ;\-#,##0\ "/>
    <numFmt numFmtId="169" formatCode="#,##0.00_ ;\-#,##0.00\ "/>
    <numFmt numFmtId="170" formatCode="_-* #,##0_р_._-;\-* #,##0_р_._-;_-* &quot;-&quot;??_р_._-;_-@_-"/>
    <numFmt numFmtId="171" formatCode="0.0%"/>
    <numFmt numFmtId="172" formatCode="#,##0.00_ ;&quot;-&quot;#,##0.00&quot; &quot;"/>
    <numFmt numFmtId="173" formatCode="_-* #,##0.0000_р_._-;\-* #,##0.0000_р_._-;_-* &quot;-&quot;??_р_._-;_-@_-"/>
    <numFmt numFmtId="174" formatCode="0.0000"/>
    <numFmt numFmtId="176" formatCode="_-* #,##0.0000_р_._-;&quot;-&quot;* #,##0.0000_р_._-;_-* &quot;-&quot;??_р_._-;_-@_-"/>
  </numFmts>
  <fonts count="24">
    <font>
      <sz val="10"/>
      <color rgb="FF000000"/>
      <name val="Arial Cyr"/>
      <family val="1"/>
      <charset val="204"/>
    </font>
    <font>
      <b/>
      <sz val="12"/>
      <color rgb="FF000000"/>
      <name val="Arial"/>
      <family val="1"/>
    </font>
    <font>
      <sz val="11"/>
      <color rgb="FF000000"/>
      <name val="Calibri"/>
      <family val="1"/>
    </font>
    <font>
      <u/>
      <sz val="10"/>
      <color rgb="FF800080"/>
      <name val="Arial Cyr"/>
      <family val="1"/>
      <charset val="204"/>
    </font>
    <font>
      <sz val="11"/>
      <color rgb="FF006100"/>
      <name val="Calibri"/>
      <family val="1"/>
    </font>
    <font>
      <sz val="12"/>
      <color rgb="FF000000"/>
      <name val="Liberation Sans"/>
      <family val="1"/>
    </font>
    <font>
      <sz val="11"/>
      <color rgb="FF000000"/>
      <name val="Times New Roman"/>
      <family val="1"/>
    </font>
    <font>
      <sz val="11"/>
      <color rgb="FFFFFF00"/>
      <name val="Times New Roman"/>
      <family val="1"/>
    </font>
    <font>
      <sz val="12"/>
      <color rgb="FFFFFFFF"/>
      <name val="Liberation Sans"/>
      <family val="1"/>
    </font>
    <font>
      <sz val="11"/>
      <color rgb="FF000000"/>
      <name val="Liberation Sans"/>
      <family val="1"/>
    </font>
    <font>
      <b/>
      <sz val="12"/>
      <color rgb="FF000000"/>
      <name val="Liberation Sans"/>
      <family val="1"/>
    </font>
    <font>
      <b/>
      <sz val="11"/>
      <color rgb="FF000000"/>
      <name val="Liberation Sans"/>
      <family val="1"/>
    </font>
    <font>
      <b/>
      <sz val="11"/>
      <color rgb="FF000000"/>
      <name val="Times New Roman"/>
      <family val="1"/>
    </font>
    <font>
      <sz val="11"/>
      <color rgb="FF000000"/>
      <name val="Arial Cyr"/>
      <family val="1"/>
      <charset val="204"/>
    </font>
    <font>
      <sz val="10"/>
      <color rgb="FF000000"/>
      <name val="Liberation Sans"/>
      <family val="1"/>
    </font>
    <font>
      <sz val="9"/>
      <color rgb="FF000000"/>
      <name val="Liberation Sans"/>
      <family val="1"/>
    </font>
    <font>
      <sz val="11"/>
      <color rgb="FFFF0000"/>
      <name val="Liberation Sans"/>
      <family val="1"/>
    </font>
    <font>
      <sz val="12"/>
      <color rgb="FFFF0000"/>
      <name val="Liberation Sans"/>
      <family val="1"/>
    </font>
    <font>
      <b/>
      <sz val="12"/>
      <color rgb="FFFF0000"/>
      <name val="Liberation Sans"/>
      <family val="1"/>
    </font>
    <font>
      <b/>
      <sz val="11"/>
      <color rgb="FFFF0000"/>
      <name val="Liberation Sans"/>
      <family val="1"/>
    </font>
    <font>
      <sz val="10"/>
      <color rgb="FF000000"/>
      <name val="Arial Cyr"/>
      <family val="1"/>
      <charset val="204"/>
    </font>
    <font>
      <vertAlign val="subscript"/>
      <sz val="12"/>
      <name val="Liberation Sans"/>
      <family val="1"/>
    </font>
    <font>
      <b/>
      <sz val="11"/>
      <color rgb="FF000000"/>
      <name val="Liberation Sans"/>
      <charset val="204"/>
    </font>
    <font>
      <b/>
      <vertAlign val="subscript"/>
      <sz val="11"/>
      <color rgb="FF000000"/>
      <name val="Liberation Sans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EBF1DC"/>
        <b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2" borderId="1">
      <alignment horizontal="center" vertical="center"/>
    </xf>
    <xf numFmtId="0" fontId="2" fillId="0" borderId="0"/>
    <xf numFmtId="0" fontId="2" fillId="0" borderId="0"/>
    <xf numFmtId="0" fontId="3" fillId="0" borderId="0"/>
    <xf numFmtId="164" fontId="20" fillId="0" borderId="0"/>
    <xf numFmtId="165" fontId="20" fillId="0" borderId="0"/>
    <xf numFmtId="0" fontId="4" fillId="3" borderId="2"/>
    <xf numFmtId="43" fontId="20" fillId="0" borderId="0" applyFont="0" applyFill="0" applyBorder="0" applyAlignment="0" applyProtection="0"/>
  </cellStyleXfs>
  <cellXfs count="193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4" borderId="3" xfId="0" applyFont="1" applyFill="1" applyBorder="1" applyAlignment="1">
      <alignment vertical="center"/>
    </xf>
    <xf numFmtId="49" fontId="5" fillId="0" borderId="0" xfId="0" applyNumberFormat="1" applyFont="1"/>
    <xf numFmtId="0" fontId="5" fillId="0" borderId="0" xfId="0" applyFont="1"/>
    <xf numFmtId="0" fontId="7" fillId="4" borderId="3" xfId="0" applyFont="1" applyFill="1" applyBorder="1" applyAlignment="1">
      <alignment vertical="center"/>
    </xf>
    <xf numFmtId="4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5" fillId="4" borderId="3" xfId="0" applyFont="1" applyFill="1" applyBorder="1"/>
    <xf numFmtId="4" fontId="5" fillId="4" borderId="3" xfId="0" applyNumberFormat="1" applyFont="1" applyFill="1" applyBorder="1"/>
    <xf numFmtId="0" fontId="0" fillId="5" borderId="4" xfId="0" applyFill="1" applyBorder="1"/>
    <xf numFmtId="0" fontId="0" fillId="5" borderId="4" xfId="0" applyFill="1" applyBorder="1"/>
    <xf numFmtId="0" fontId="0" fillId="6" borderId="5" xfId="0" applyFill="1" applyBorder="1"/>
    <xf numFmtId="0" fontId="0" fillId="7" borderId="6" xfId="0" applyFill="1" applyBorder="1"/>
    <xf numFmtId="0" fontId="0" fillId="7" borderId="6" xfId="0" applyFill="1" applyBorder="1"/>
    <xf numFmtId="0" fontId="0" fillId="4" borderId="3" xfId="0" applyFill="1" applyBorder="1"/>
    <xf numFmtId="0" fontId="6" fillId="0" borderId="0" xfId="0" applyFont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/>
    </xf>
    <xf numFmtId="3" fontId="5" fillId="4" borderId="3" xfId="0" applyNumberFormat="1" applyFont="1" applyFill="1" applyBorder="1" applyAlignment="1">
      <alignment horizontal="center" wrapText="1"/>
    </xf>
    <xf numFmtId="49" fontId="5" fillId="4" borderId="3" xfId="0" applyNumberFormat="1" applyFont="1" applyFill="1" applyBorder="1" applyAlignment="1">
      <alignment horizontal="center" wrapText="1"/>
    </xf>
    <xf numFmtId="4" fontId="5" fillId="4" borderId="3" xfId="0" applyNumberFormat="1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9" fillId="0" borderId="7" xfId="0" applyFont="1" applyFill="1" applyBorder="1" applyAlignment="1">
      <alignment horizontal="center"/>
    </xf>
    <xf numFmtId="0" fontId="11" fillId="9" borderId="9" xfId="0" applyFont="1" applyFill="1" applyBorder="1"/>
    <xf numFmtId="0" fontId="11" fillId="0" borderId="7" xfId="0" applyFont="1" applyFill="1" applyBorder="1"/>
    <xf numFmtId="166" fontId="11" fillId="0" borderId="7" xfId="0" applyNumberFormat="1" applyFont="1" applyFill="1" applyBorder="1"/>
    <xf numFmtId="0" fontId="11" fillId="0" borderId="7" xfId="0" applyFont="1" applyFill="1" applyBorder="1" applyAlignment="1">
      <alignment horizontal="center"/>
    </xf>
    <xf numFmtId="0" fontId="12" fillId="0" borderId="7" xfId="0" applyFont="1" applyFill="1" applyBorder="1" applyAlignment="1">
      <alignment vertical="center"/>
    </xf>
    <xf numFmtId="0" fontId="12" fillId="7" borderId="6" xfId="0" applyFont="1" applyFill="1" applyBorder="1" applyAlignment="1">
      <alignment vertical="center"/>
    </xf>
    <xf numFmtId="0" fontId="12" fillId="8" borderId="8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3" fillId="0" borderId="0" xfId="0" applyFont="1"/>
    <xf numFmtId="1" fontId="9" fillId="0" borderId="7" xfId="0" applyNumberFormat="1" applyFont="1" applyFill="1" applyBorder="1" applyAlignment="1">
      <alignment horizontal="center"/>
    </xf>
    <xf numFmtId="165" fontId="14" fillId="0" borderId="7" xfId="5" applyNumberFormat="1" applyFont="1" applyFill="1" applyBorder="1" applyAlignment="1">
      <alignment horizontal="center" wrapText="1"/>
    </xf>
    <xf numFmtId="0" fontId="9" fillId="0" borderId="7" xfId="0" applyFont="1" applyFill="1" applyBorder="1"/>
    <xf numFmtId="0" fontId="9" fillId="9" borderId="9" xfId="0" applyFont="1" applyFill="1" applyBorder="1"/>
    <xf numFmtId="167" fontId="9" fillId="0" borderId="7" xfId="5" applyNumberFormat="1" applyFont="1" applyFill="1" applyBorder="1" applyAlignment="1">
      <alignment horizontal="center"/>
    </xf>
    <xf numFmtId="4" fontId="9" fillId="0" borderId="7" xfId="0" applyNumberFormat="1" applyFont="1" applyFill="1" applyBorder="1" applyAlignment="1">
      <alignment horizontal="right"/>
    </xf>
    <xf numFmtId="168" fontId="6" fillId="0" borderId="0" xfId="5" applyNumberFormat="1" applyFont="1" applyAlignment="1">
      <alignment vertical="center"/>
    </xf>
    <xf numFmtId="0" fontId="9" fillId="0" borderId="11" xfId="0" applyFont="1" applyFill="1" applyBorder="1"/>
    <xf numFmtId="0" fontId="13" fillId="7" borderId="6" xfId="0" applyFont="1" applyFill="1" applyBorder="1"/>
    <xf numFmtId="0" fontId="9" fillId="10" borderId="12" xfId="0" applyFont="1" applyFill="1" applyBorder="1"/>
    <xf numFmtId="169" fontId="9" fillId="8" borderId="8" xfId="5" applyNumberFormat="1" applyFont="1" applyFill="1" applyBorder="1"/>
    <xf numFmtId="169" fontId="9" fillId="9" borderId="9" xfId="5" applyNumberFormat="1" applyFont="1" applyFill="1" applyBorder="1"/>
    <xf numFmtId="0" fontId="6" fillId="5" borderId="4" xfId="0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2" fontId="9" fillId="0" borderId="7" xfId="3" applyNumberFormat="1" applyFont="1" applyFill="1" applyBorder="1" applyAlignment="1" applyProtection="1">
      <alignment horizontal="left" wrapText="1"/>
      <protection locked="0"/>
    </xf>
    <xf numFmtId="167" fontId="9" fillId="9" borderId="9" xfId="5" applyNumberFormat="1" applyFont="1" applyFill="1" applyBorder="1" applyAlignment="1">
      <alignment horizontal="center"/>
    </xf>
    <xf numFmtId="0" fontId="6" fillId="7" borderId="6" xfId="0" applyFont="1" applyFill="1" applyBorder="1" applyAlignment="1">
      <alignment vertical="center"/>
    </xf>
    <xf numFmtId="0" fontId="9" fillId="8" borderId="8" xfId="0" applyFont="1" applyFill="1" applyBorder="1"/>
    <xf numFmtId="169" fontId="9" fillId="8" borderId="8" xfId="5" applyNumberFormat="1" applyFont="1" applyFill="1" applyBorder="1" applyAlignment="1">
      <alignment horizontal="right"/>
    </xf>
    <xf numFmtId="0" fontId="9" fillId="11" borderId="13" xfId="0" applyFont="1" applyFill="1" applyBorder="1"/>
    <xf numFmtId="0" fontId="14" fillId="0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vertical="center"/>
    </xf>
    <xf numFmtId="0" fontId="6" fillId="12" borderId="14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49" fontId="9" fillId="0" borderId="7" xfId="0" applyNumberFormat="1" applyFont="1" applyFill="1" applyBorder="1" applyAlignment="1">
      <alignment wrapText="1"/>
    </xf>
    <xf numFmtId="0" fontId="15" fillId="0" borderId="7" xfId="0" applyFont="1" applyFill="1" applyBorder="1" applyAlignment="1">
      <alignment horizontal="center" wrapText="1"/>
    </xf>
    <xf numFmtId="49" fontId="9" fillId="0" borderId="7" xfId="0" applyNumberFormat="1" applyFont="1" applyFill="1" applyBorder="1"/>
    <xf numFmtId="0" fontId="11" fillId="0" borderId="7" xfId="0" applyFont="1" applyFill="1" applyBorder="1" applyAlignment="1">
      <alignment wrapText="1"/>
    </xf>
    <xf numFmtId="165" fontId="9" fillId="0" borderId="7" xfId="5" applyNumberFormat="1" applyFont="1" applyFill="1" applyBorder="1" applyAlignment="1">
      <alignment horizontal="center" wrapText="1"/>
    </xf>
    <xf numFmtId="170" fontId="9" fillId="0" borderId="7" xfId="5" applyNumberFormat="1" applyFont="1" applyFill="1" applyBorder="1" applyAlignment="1">
      <alignment horizontal="center" wrapText="1"/>
    </xf>
    <xf numFmtId="165" fontId="9" fillId="0" borderId="7" xfId="5" applyNumberFormat="1" applyFont="1" applyFill="1" applyBorder="1" applyAlignment="1">
      <alignment horizontal="center"/>
    </xf>
    <xf numFmtId="167" fontId="9" fillId="0" borderId="7" xfId="5" applyNumberFormat="1" applyFont="1" applyFill="1" applyBorder="1" applyAlignment="1">
      <alignment horizontal="right"/>
    </xf>
    <xf numFmtId="4" fontId="11" fillId="0" borderId="7" xfId="5" applyNumberFormat="1" applyFont="1" applyFill="1" applyBorder="1" applyAlignment="1">
      <alignment horizontal="right"/>
    </xf>
    <xf numFmtId="0" fontId="13" fillId="10" borderId="12" xfId="0" applyFont="1" applyFill="1" applyBorder="1"/>
    <xf numFmtId="4" fontId="11" fillId="12" borderId="14" xfId="5" applyNumberFormat="1" applyFont="1" applyFill="1" applyBorder="1" applyAlignment="1">
      <alignment horizontal="right"/>
    </xf>
    <xf numFmtId="0" fontId="13" fillId="0" borderId="11" xfId="0" applyFont="1" applyFill="1" applyBorder="1"/>
    <xf numFmtId="4" fontId="11" fillId="0" borderId="15" xfId="5" applyNumberFormat="1" applyFont="1" applyFill="1" applyBorder="1" applyAlignment="1">
      <alignment horizontal="right"/>
    </xf>
    <xf numFmtId="167" fontId="11" fillId="0" borderId="7" xfId="0" applyNumberFormat="1" applyFont="1" applyFill="1" applyBorder="1" applyAlignment="1">
      <alignment horizontal="right"/>
    </xf>
    <xf numFmtId="4" fontId="11" fillId="0" borderId="7" xfId="0" applyNumberFormat="1" applyFont="1" applyFill="1" applyBorder="1" applyAlignment="1">
      <alignment horizontal="right"/>
    </xf>
    <xf numFmtId="0" fontId="12" fillId="0" borderId="15" xfId="0" applyFont="1" applyFill="1" applyBorder="1" applyAlignment="1">
      <alignment vertical="center"/>
    </xf>
    <xf numFmtId="0" fontId="12" fillId="12" borderId="14" xfId="0" applyFont="1" applyFill="1" applyBorder="1" applyAlignment="1">
      <alignment vertical="center"/>
    </xf>
    <xf numFmtId="0" fontId="9" fillId="0" borderId="16" xfId="0" applyFont="1" applyFill="1" applyBorder="1"/>
    <xf numFmtId="0" fontId="12" fillId="13" borderId="17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right"/>
    </xf>
    <xf numFmtId="167" fontId="9" fillId="0" borderId="7" xfId="0" applyNumberFormat="1" applyFont="1" applyFill="1" applyBorder="1" applyAlignment="1">
      <alignment horizontal="right"/>
    </xf>
    <xf numFmtId="0" fontId="9" fillId="10" borderId="12" xfId="0" applyFont="1" applyFill="1" applyBorder="1" applyAlignment="1">
      <alignment horizontal="right"/>
    </xf>
    <xf numFmtId="2" fontId="9" fillId="9" borderId="9" xfId="0" applyNumberFormat="1" applyFont="1" applyFill="1" applyBorder="1"/>
    <xf numFmtId="9" fontId="9" fillId="0" borderId="7" xfId="0" applyNumberFormat="1" applyFont="1" applyFill="1" applyBorder="1" applyAlignment="1">
      <alignment horizontal="center" wrapText="1"/>
    </xf>
    <xf numFmtId="9" fontId="9" fillId="0" borderId="7" xfId="0" applyNumberFormat="1" applyFont="1" applyFill="1" applyBorder="1" applyAlignment="1">
      <alignment horizontal="center"/>
    </xf>
    <xf numFmtId="171" fontId="9" fillId="0" borderId="7" xfId="0" applyNumberFormat="1" applyFont="1" applyFill="1" applyBorder="1" applyAlignment="1">
      <alignment horizontal="center"/>
    </xf>
    <xf numFmtId="171" fontId="9" fillId="0" borderId="7" xfId="0" applyNumberFormat="1" applyFont="1" applyFill="1" applyBorder="1" applyAlignment="1">
      <alignment horizontal="center" wrapText="1"/>
    </xf>
    <xf numFmtId="0" fontId="9" fillId="0" borderId="7" xfId="0" applyFont="1" applyFill="1" applyBorder="1" applyAlignment="1">
      <alignment wrapText="1"/>
    </xf>
    <xf numFmtId="0" fontId="9" fillId="0" borderId="7" xfId="0" applyFont="1" applyFill="1" applyBorder="1" applyAlignment="1">
      <alignment vertical="center" wrapText="1"/>
    </xf>
    <xf numFmtId="49" fontId="9" fillId="0" borderId="7" xfId="0" applyNumberFormat="1" applyFont="1" applyFill="1" applyBorder="1" applyAlignment="1">
      <alignment horizontal="left" wrapText="1"/>
    </xf>
    <xf numFmtId="169" fontId="9" fillId="14" borderId="18" xfId="5" applyNumberFormat="1" applyFont="1" applyFill="1" applyBorder="1"/>
    <xf numFmtId="0" fontId="6" fillId="0" borderId="19" xfId="0" applyFont="1" applyFill="1" applyBorder="1" applyAlignment="1">
      <alignment vertical="center"/>
    </xf>
    <xf numFmtId="0" fontId="6" fillId="10" borderId="12" xfId="0" applyFont="1" applyFill="1" applyBorder="1" applyAlignment="1">
      <alignment vertical="center"/>
    </xf>
    <xf numFmtId="4" fontId="11" fillId="8" borderId="8" xfId="0" applyNumberFormat="1" applyFont="1" applyFill="1" applyBorder="1" applyAlignment="1">
      <alignment horizontal="right"/>
    </xf>
    <xf numFmtId="4" fontId="11" fillId="0" borderId="15" xfId="0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vertical="center"/>
    </xf>
    <xf numFmtId="0" fontId="6" fillId="15" borderId="20" xfId="0" applyFont="1" applyFill="1" applyBorder="1" applyAlignment="1">
      <alignment vertical="center"/>
    </xf>
    <xf numFmtId="4" fontId="11" fillId="12" borderId="14" xfId="0" applyNumberFormat="1" applyFont="1" applyFill="1" applyBorder="1" applyAlignment="1">
      <alignment horizontal="right"/>
    </xf>
    <xf numFmtId="0" fontId="9" fillId="0" borderId="7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right" wrapText="1"/>
    </xf>
    <xf numFmtId="0" fontId="9" fillId="8" borderId="8" xfId="0" applyFont="1" applyFill="1" applyBorder="1" applyAlignment="1">
      <alignment horizontal="right"/>
    </xf>
    <xf numFmtId="0" fontId="9" fillId="0" borderId="7" xfId="0" applyFont="1" applyFill="1" applyBorder="1" applyAlignment="1">
      <alignment horizontal="left" wrapText="1"/>
    </xf>
    <xf numFmtId="49" fontId="11" fillId="0" borderId="7" xfId="0" applyNumberFormat="1" applyFont="1" applyFill="1" applyBorder="1" applyAlignment="1">
      <alignment wrapText="1"/>
    </xf>
    <xf numFmtId="0" fontId="9" fillId="0" borderId="7" xfId="0" applyFont="1" applyFill="1" applyBorder="1" applyAlignment="1">
      <alignment horizontal="center"/>
    </xf>
    <xf numFmtId="4" fontId="11" fillId="0" borderId="10" xfId="0" applyNumberFormat="1" applyFont="1" applyFill="1" applyBorder="1" applyAlignment="1">
      <alignment horizontal="right"/>
    </xf>
    <xf numFmtId="169" fontId="9" fillId="9" borderId="9" xfId="7" applyNumberFormat="1" applyFont="1" applyFill="1" applyBorder="1" applyAlignment="1">
      <alignment vertical="center"/>
    </xf>
    <xf numFmtId="4" fontId="5" fillId="4" borderId="3" xfId="7" applyNumberFormat="1" applyFont="1" applyFill="1" applyBorder="1" applyAlignment="1">
      <alignment horizontal="right" vertical="center"/>
    </xf>
    <xf numFmtId="0" fontId="5" fillId="11" borderId="13" xfId="0" applyFont="1" applyFill="1" applyBorder="1"/>
    <xf numFmtId="169" fontId="9" fillId="9" borderId="9" xfId="5" applyNumberFormat="1" applyFont="1" applyFill="1" applyBorder="1" applyAlignment="1">
      <alignment vertical="center"/>
    </xf>
    <xf numFmtId="0" fontId="5" fillId="7" borderId="6" xfId="0" applyFont="1" applyFill="1" applyBorder="1"/>
    <xf numFmtId="0" fontId="5" fillId="9" borderId="9" xfId="0" applyFont="1" applyFill="1" applyBorder="1"/>
    <xf numFmtId="165" fontId="9" fillId="9" borderId="9" xfId="7" applyNumberFormat="1" applyFont="1" applyFill="1" applyBorder="1" applyAlignment="1">
      <alignment vertical="center"/>
    </xf>
    <xf numFmtId="170" fontId="9" fillId="9" borderId="9" xfId="7" applyNumberFormat="1" applyFont="1" applyFill="1" applyBorder="1" applyAlignment="1">
      <alignment vertical="center"/>
    </xf>
    <xf numFmtId="170" fontId="17" fillId="9" borderId="9" xfId="7" applyNumberFormat="1" applyFont="1" applyFill="1" applyBorder="1" applyAlignment="1">
      <alignment horizontal="center" vertical="center"/>
    </xf>
    <xf numFmtId="4" fontId="9" fillId="6" borderId="5" xfId="0" applyNumberFormat="1" applyFont="1" applyFill="1" applyBorder="1"/>
    <xf numFmtId="173" fontId="9" fillId="9" borderId="9" xfId="7" applyNumberFormat="1" applyFont="1" applyFill="1" applyBorder="1" applyAlignment="1">
      <alignment vertical="center"/>
    </xf>
    <xf numFmtId="4" fontId="17" fillId="4" borderId="3" xfId="0" applyNumberFormat="1" applyFont="1" applyFill="1" applyBorder="1" applyAlignment="1">
      <alignment horizontal="right"/>
    </xf>
    <xf numFmtId="165" fontId="17" fillId="11" borderId="13" xfId="5" applyNumberFormat="1" applyFont="1" applyFill="1" applyBorder="1" applyAlignment="1">
      <alignment vertical="center"/>
    </xf>
    <xf numFmtId="4" fontId="11" fillId="9" borderId="9" xfId="0" applyNumberFormat="1" applyFont="1" applyFill="1" applyBorder="1" applyAlignment="1">
      <alignment vertical="center"/>
    </xf>
    <xf numFmtId="165" fontId="17" fillId="7" borderId="6" xfId="5" applyNumberFormat="1" applyFont="1" applyFill="1" applyBorder="1" applyAlignment="1">
      <alignment vertical="center"/>
    </xf>
    <xf numFmtId="0" fontId="10" fillId="7" borderId="6" xfId="0" applyFont="1" applyFill="1" applyBorder="1"/>
    <xf numFmtId="0" fontId="10" fillId="9" borderId="9" xfId="0" applyFont="1" applyFill="1" applyBorder="1"/>
    <xf numFmtId="174" fontId="18" fillId="9" borderId="9" xfId="0" applyNumberFormat="1" applyFont="1" applyFill="1" applyBorder="1" applyAlignment="1">
      <alignment vertical="center"/>
    </xf>
    <xf numFmtId="4" fontId="19" fillId="9" borderId="9" xfId="0" applyNumberFormat="1" applyFont="1" applyFill="1" applyBorder="1" applyAlignment="1">
      <alignment vertical="center"/>
    </xf>
    <xf numFmtId="169" fontId="9" fillId="9" borderId="9" xfId="0" applyNumberFormat="1" applyFont="1" applyFill="1" applyBorder="1"/>
    <xf numFmtId="4" fontId="9" fillId="9" borderId="9" xfId="0" applyNumberFormat="1" applyFont="1" applyFill="1" applyBorder="1" applyAlignment="1">
      <alignment vertical="center"/>
    </xf>
    <xf numFmtId="0" fontId="17" fillId="9" borderId="9" xfId="0" applyFont="1" applyFill="1" applyBorder="1"/>
    <xf numFmtId="4" fontId="16" fillId="9" borderId="9" xfId="0" applyNumberFormat="1" applyFont="1" applyFill="1" applyBorder="1" applyAlignment="1">
      <alignment vertical="center"/>
    </xf>
    <xf numFmtId="49" fontId="17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vertical="center"/>
    </xf>
    <xf numFmtId="0" fontId="17" fillId="0" borderId="0" xfId="4" applyFont="1" applyAlignment="1">
      <alignment horizontal="left"/>
    </xf>
    <xf numFmtId="174" fontId="17" fillId="4" borderId="3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/>
    <xf numFmtId="4" fontId="5" fillId="0" borderId="0" xfId="0" applyNumberFormat="1" applyFont="1" applyAlignment="1">
      <alignment horizontal="left"/>
    </xf>
    <xf numFmtId="49" fontId="5" fillId="0" borderId="0" xfId="0" applyNumberFormat="1" applyFont="1"/>
    <xf numFmtId="0" fontId="5" fillId="0" borderId="0" xfId="0" applyFont="1" applyAlignment="1">
      <alignment vertical="center"/>
    </xf>
    <xf numFmtId="0" fontId="5" fillId="0" borderId="0" xfId="0" applyFont="1"/>
    <xf numFmtId="49" fontId="5" fillId="0" borderId="7" xfId="0" applyNumberFormat="1" applyFont="1" applyFill="1" applyBorder="1" applyAlignment="1">
      <alignment wrapText="1"/>
    </xf>
    <xf numFmtId="172" fontId="22" fillId="9" borderId="9" xfId="7" applyNumberFormat="1" applyFont="1" applyFill="1" applyBorder="1" applyAlignment="1">
      <alignment vertical="center"/>
    </xf>
    <xf numFmtId="4" fontId="5" fillId="4" borderId="30" xfId="7" applyNumberFormat="1" applyFont="1" applyFill="1" applyBorder="1" applyAlignment="1">
      <alignment horizontal="right" vertical="center"/>
    </xf>
    <xf numFmtId="4" fontId="17" fillId="4" borderId="30" xfId="0" applyNumberFormat="1" applyFont="1" applyFill="1" applyBorder="1" applyAlignment="1">
      <alignment horizontal="right"/>
    </xf>
    <xf numFmtId="0" fontId="5" fillId="4" borderId="30" xfId="0" applyFont="1" applyFill="1" applyBorder="1"/>
    <xf numFmtId="4" fontId="11" fillId="9" borderId="22" xfId="0" applyNumberFormat="1" applyFont="1" applyFill="1" applyBorder="1" applyAlignment="1">
      <alignment vertical="center"/>
    </xf>
    <xf numFmtId="165" fontId="17" fillId="7" borderId="30" xfId="5" applyNumberFormat="1" applyFont="1" applyFill="1" applyBorder="1" applyAlignment="1">
      <alignment vertical="center"/>
    </xf>
    <xf numFmtId="0" fontId="5" fillId="9" borderId="22" xfId="0" applyFont="1" applyFill="1" applyBorder="1"/>
    <xf numFmtId="0" fontId="10" fillId="7" borderId="30" xfId="0" applyFont="1" applyFill="1" applyBorder="1"/>
    <xf numFmtId="0" fontId="10" fillId="9" borderId="22" xfId="0" applyFont="1" applyFill="1" applyBorder="1"/>
    <xf numFmtId="174" fontId="18" fillId="9" borderId="22" xfId="0" applyNumberFormat="1" applyFont="1" applyFill="1" applyBorder="1" applyAlignment="1">
      <alignment vertical="center"/>
    </xf>
    <xf numFmtId="4" fontId="19" fillId="9" borderId="22" xfId="0" applyNumberFormat="1" applyFont="1" applyFill="1" applyBorder="1" applyAlignment="1">
      <alignment vertical="center"/>
    </xf>
    <xf numFmtId="43" fontId="9" fillId="9" borderId="18" xfId="8" applyFont="1" applyFill="1" applyBorder="1" applyAlignment="1">
      <alignment vertical="center"/>
    </xf>
    <xf numFmtId="49" fontId="9" fillId="0" borderId="31" xfId="0" applyNumberFormat="1" applyFont="1" applyBorder="1" applyAlignment="1">
      <alignment wrapText="1"/>
    </xf>
    <xf numFmtId="165" fontId="9" fillId="0" borderId="31" xfId="7" applyNumberFormat="1" applyFont="1" applyFill="1" applyBorder="1" applyAlignment="1">
      <alignment vertical="center"/>
    </xf>
    <xf numFmtId="170" fontId="9" fillId="0" borderId="31" xfId="7" applyNumberFormat="1" applyFont="1" applyFill="1" applyBorder="1" applyAlignment="1">
      <alignment vertical="center"/>
    </xf>
    <xf numFmtId="176" fontId="9" fillId="0" borderId="31" xfId="7" applyNumberFormat="1" applyFont="1" applyFill="1" applyBorder="1" applyAlignment="1">
      <alignment vertical="center"/>
    </xf>
    <xf numFmtId="169" fontId="9" fillId="0" borderId="31" xfId="7" applyNumberFormat="1" applyFont="1" applyFill="1" applyBorder="1" applyAlignment="1">
      <alignment vertical="center"/>
    </xf>
    <xf numFmtId="169" fontId="11" fillId="0" borderId="31" xfId="0" applyNumberFormat="1" applyFont="1" applyBorder="1" applyAlignment="1">
      <alignment vertic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 wrapText="1"/>
    </xf>
    <xf numFmtId="49" fontId="9" fillId="0" borderId="7" xfId="0" applyNumberFormat="1" applyFont="1" applyFill="1" applyBorder="1" applyAlignment="1">
      <alignment horizontal="left" wrapText="1"/>
    </xf>
    <xf numFmtId="49" fontId="11" fillId="0" borderId="13" xfId="0" applyNumberFormat="1" applyFont="1" applyFill="1" applyBorder="1" applyAlignment="1">
      <alignment horizontal="left" wrapText="1"/>
    </xf>
    <xf numFmtId="49" fontId="11" fillId="0" borderId="32" xfId="0" applyNumberFormat="1" applyFont="1" applyFill="1" applyBorder="1" applyAlignment="1">
      <alignment horizontal="left" wrapText="1"/>
    </xf>
    <xf numFmtId="49" fontId="11" fillId="0" borderId="21" xfId="0" applyNumberFormat="1" applyFont="1" applyFill="1" applyBorder="1" applyAlignment="1">
      <alignment horizontal="left" wrapText="1"/>
    </xf>
    <xf numFmtId="49" fontId="9" fillId="0" borderId="22" xfId="0" applyNumberFormat="1" applyFont="1" applyFill="1" applyBorder="1" applyAlignment="1">
      <alignment horizontal="center" wrapText="1"/>
    </xf>
    <xf numFmtId="2" fontId="11" fillId="0" borderId="7" xfId="3" applyNumberFormat="1" applyFont="1" applyFill="1" applyBorder="1" applyAlignment="1" applyProtection="1">
      <alignment horizontal="left" wrapText="1"/>
      <protection locked="0"/>
    </xf>
    <xf numFmtId="0" fontId="11" fillId="0" borderId="7" xfId="0" applyFont="1" applyFill="1" applyBorder="1" applyAlignment="1">
      <alignment horizontal="left" wrapText="1"/>
    </xf>
    <xf numFmtId="0" fontId="0" fillId="16" borderId="23" xfId="0" applyFill="1" applyBorder="1" applyAlignment="1">
      <alignment horizontal="center" vertical="center"/>
    </xf>
    <xf numFmtId="0" fontId="0" fillId="17" borderId="24" xfId="0" applyFill="1" applyBorder="1" applyAlignment="1">
      <alignment horizontal="center" vertical="center"/>
    </xf>
    <xf numFmtId="0" fontId="0" fillId="18" borderId="25" xfId="0" applyFill="1" applyBorder="1" applyAlignment="1">
      <alignment horizontal="center" vertical="center"/>
    </xf>
    <xf numFmtId="0" fontId="0" fillId="19" borderId="26" xfId="0" applyFill="1" applyBorder="1" applyAlignment="1">
      <alignment horizontal="center" vertical="center"/>
    </xf>
    <xf numFmtId="0" fontId="0" fillId="20" borderId="27" xfId="0" applyFill="1" applyBorder="1" applyAlignment="1">
      <alignment horizontal="center" vertical="center" wrapText="1"/>
    </xf>
    <xf numFmtId="0" fontId="0" fillId="21" borderId="28" xfId="0" applyFill="1" applyBorder="1" applyAlignment="1">
      <alignment horizontal="center" vertical="center" wrapText="1"/>
    </xf>
    <xf numFmtId="0" fontId="0" fillId="15" borderId="20" xfId="0" applyFill="1" applyBorder="1" applyAlignment="1">
      <alignment horizontal="center" vertical="center" wrapText="1"/>
    </xf>
    <xf numFmtId="0" fontId="0" fillId="22" borderId="29" xfId="0" applyFill="1" applyBorder="1" applyAlignment="1">
      <alignment horizontal="center" vertical="center" wrapText="1"/>
    </xf>
    <xf numFmtId="0" fontId="0" fillId="16" borderId="23" xfId="0" applyFill="1" applyBorder="1" applyAlignment="1">
      <alignment horizontal="center" vertical="center" wrapText="1"/>
    </xf>
    <xf numFmtId="0" fontId="0" fillId="17" borderId="24" xfId="0" applyFill="1" applyBorder="1" applyAlignment="1">
      <alignment horizontal="center" vertical="center" wrapText="1"/>
    </xf>
    <xf numFmtId="0" fontId="0" fillId="18" borderId="25" xfId="0" applyFill="1" applyBorder="1" applyAlignment="1">
      <alignment horizontal="center" vertical="center" wrapText="1"/>
    </xf>
    <xf numFmtId="0" fontId="0" fillId="19" borderId="26" xfId="0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66" fontId="9" fillId="0" borderId="7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right"/>
    </xf>
  </cellXfs>
  <cellStyles count="9">
    <cellStyle name="S1" xfId="1" xr:uid="{00000000-0005-0000-0000-000001000000}"/>
    <cellStyle name="Обычный" xfId="0" builtinId="0" customBuiltin="1"/>
    <cellStyle name="Обычный 2" xfId="2" xr:uid="{00000000-0005-0000-0000-000002000000}"/>
    <cellStyle name="Обычный 3" xfId="3" xr:uid="{00000000-0005-0000-0000-000003000000}"/>
    <cellStyle name="Открывавшаяся гиперссылка" xfId="4" builtinId="9" customBuiltin="1"/>
    <cellStyle name="Финансовый" xfId="8" builtinId="3"/>
    <cellStyle name="Финансовый [0]" xfId="5" builtinId="6" customBuiltin="1"/>
    <cellStyle name="Финансовый 2" xfId="6" xr:uid="{00000000-0005-0000-0000-000006000000}"/>
    <cellStyle name="Хороший" xfId="7" builtinId="26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2988590" count="1">
        <pm:charStyle name="Обычный" fontId="0" Id="1"/>
      </pm:charStyles>
      <pm:colors xmlns:pm="smNativeData" id="1782988590" count="8">
        <pm:color name="Цвет 24" rgb="800080"/>
        <pm:color name="Цвет 25" rgb="006100"/>
        <pm:color name="Цвет 26" rgb="00B0F0"/>
        <pm:color name="Небесно-голубой" rgb="00CCFF"/>
        <pm:color name="Слоновая кость" rgb="FFFFCC"/>
        <pm:color name="Цвет 29" rgb="C6EFCE"/>
        <pm:color name="Цвет 30" rgb="EBF1DC"/>
        <pm:color name="Цвет 31" rgb="DCE6F1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22" name="Text Box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9zb2Y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21" name="Text Box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20" name="Text Box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19" name="Text Box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18" name="Text Box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17" name="Text Box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16" name="Text Box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15" name="Text Box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14" name="Text Box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46</xdr:row>
      <xdr:rowOff>10795</xdr:rowOff>
    </xdr:to>
    <xdr:sp macro="" textlink="" fLocksText="0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45310" y="3606228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 editAs="oneCell">
    <xdr:from>
      <xdr:col>1</xdr:col>
      <xdr:colOff>1494790</xdr:colOff>
      <xdr:row>50</xdr:row>
      <xdr:rowOff>0</xdr:rowOff>
    </xdr:from>
    <xdr:to>
      <xdr:col>1</xdr:col>
      <xdr:colOff>1572895</xdr:colOff>
      <xdr:row>50</xdr:row>
      <xdr:rowOff>0</xdr:rowOff>
    </xdr:to>
    <xdr:sp macro="" textlink="" fLocksText="0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wBAAABAAAAAAC7AUwBAAABAAAAAADSAYoLAABn6wAAewAAAAAAAAABAAAA"/>
            </a:ext>
          </a:extLst>
        </xdr:cNvSpPr>
      </xdr:nvSpPr>
      <xdr:spPr>
        <a:xfrm>
          <a:off x="1875790" y="38267005"/>
          <a:ext cx="7810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 editAs="oneCell">
    <xdr:from>
      <xdr:col>1</xdr:col>
      <xdr:colOff>1494790</xdr:colOff>
      <xdr:row>50</xdr:row>
      <xdr:rowOff>0</xdr:rowOff>
    </xdr:from>
    <xdr:to>
      <xdr:col>1</xdr:col>
      <xdr:colOff>1572895</xdr:colOff>
      <xdr:row>50</xdr:row>
      <xdr:rowOff>0</xdr:rowOff>
    </xdr:to>
    <xdr:sp macro="" textlink="" fLocksText="0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wBAAABAAAAAAC7AUwBAAABAAAAAADSAYoLAABn6wAAewAAAAAAAAABAAAA"/>
            </a:ext>
          </a:extLst>
        </xdr:cNvSpPr>
      </xdr:nvSpPr>
      <xdr:spPr>
        <a:xfrm>
          <a:off x="1875790" y="38267005"/>
          <a:ext cx="7810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 editAs="oneCell">
    <xdr:from>
      <xdr:col>1</xdr:col>
      <xdr:colOff>1494790</xdr:colOff>
      <xdr:row>50</xdr:row>
      <xdr:rowOff>0</xdr:rowOff>
    </xdr:from>
    <xdr:to>
      <xdr:col>1</xdr:col>
      <xdr:colOff>1572895</xdr:colOff>
      <xdr:row>50</xdr:row>
      <xdr:rowOff>0</xdr:rowOff>
    </xdr:to>
    <xdr:sp macro="" textlink="" fLocksText="0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wBAAABAAAAAAC7AUwBAAABAAAAAADSAYoLAABn6wAAewAAAAAAAAABAAAA"/>
            </a:ext>
          </a:extLst>
        </xdr:cNvSpPr>
      </xdr:nvSpPr>
      <xdr:spPr>
        <a:xfrm>
          <a:off x="1875790" y="38267005"/>
          <a:ext cx="7810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 editAs="oneCell">
    <xdr:from>
      <xdr:col>1</xdr:col>
      <xdr:colOff>1494790</xdr:colOff>
      <xdr:row>50</xdr:row>
      <xdr:rowOff>0</xdr:rowOff>
    </xdr:from>
    <xdr:to>
      <xdr:col>1</xdr:col>
      <xdr:colOff>1572895</xdr:colOff>
      <xdr:row>50</xdr:row>
      <xdr:rowOff>0</xdr:rowOff>
    </xdr:to>
    <xdr:sp macro="" textlink="" fLocksText="0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wBAAABAAAAAAC7AUwBAAABAAAAAADSAYoLAABn6wAAewAAAAAAAAABAAAA"/>
            </a:ext>
          </a:extLst>
        </xdr:cNvSpPr>
      </xdr:nvSpPr>
      <xdr:spPr>
        <a:xfrm>
          <a:off x="1875790" y="38267005"/>
          <a:ext cx="7810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 editAs="oneCell">
    <xdr:from>
      <xdr:col>1</xdr:col>
      <xdr:colOff>1494790</xdr:colOff>
      <xdr:row>50</xdr:row>
      <xdr:rowOff>0</xdr:rowOff>
    </xdr:from>
    <xdr:to>
      <xdr:col>1</xdr:col>
      <xdr:colOff>1572895</xdr:colOff>
      <xdr:row>50</xdr:row>
      <xdr:rowOff>0</xdr:rowOff>
    </xdr:to>
    <xdr:sp macro="" textlink="" fLocksText="0">
      <xdr:nvSpPr>
        <xdr:cNvPr id="6" name="Text 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wBAAABAAAAAAC7AUwBAAABAAAAAADSAYoLAABn6wAAewAAAAAAAAABAAAA"/>
            </a:ext>
          </a:extLst>
        </xdr:cNvSpPr>
      </xdr:nvSpPr>
      <xdr:spPr>
        <a:xfrm>
          <a:off x="1875790" y="38267005"/>
          <a:ext cx="7810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 editAs="oneCell">
    <xdr:from>
      <xdr:col>1</xdr:col>
      <xdr:colOff>1494790</xdr:colOff>
      <xdr:row>50</xdr:row>
      <xdr:rowOff>0</xdr:rowOff>
    </xdr:from>
    <xdr:to>
      <xdr:col>1</xdr:col>
      <xdr:colOff>1572895</xdr:colOff>
      <xdr:row>50</xdr:row>
      <xdr:rowOff>0</xdr:rowOff>
    </xdr:to>
    <xdr:sp macro="" textlink="" fLocksText="0">
      <xdr:nvSpPr>
        <xdr:cNvPr id="5" name="Text Box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wBAAABAAAAAAC7AUwBAAABAAAAAADSAYoLAABn6wAAewAAAAAAAAABAAAA"/>
            </a:ext>
          </a:extLst>
        </xdr:cNvSpPr>
      </xdr:nvSpPr>
      <xdr:spPr>
        <a:xfrm>
          <a:off x="1875790" y="38267005"/>
          <a:ext cx="7810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 editAs="oneCell">
    <xdr:from>
      <xdr:col>1</xdr:col>
      <xdr:colOff>1494790</xdr:colOff>
      <xdr:row>50</xdr:row>
      <xdr:rowOff>0</xdr:rowOff>
    </xdr:from>
    <xdr:to>
      <xdr:col>1</xdr:col>
      <xdr:colOff>1572895</xdr:colOff>
      <xdr:row>50</xdr:row>
      <xdr:rowOff>0</xdr:rowOff>
    </xdr:to>
    <xdr:sp macro="" textlink="" fLocksText="0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wBAAABAAAAAAC7AUwBAAABAAAAAADSAYoLAABn6wAAewAAAAAAAAABAAAA"/>
            </a:ext>
          </a:extLst>
        </xdr:cNvSpPr>
      </xdr:nvSpPr>
      <xdr:spPr>
        <a:xfrm>
          <a:off x="1875790" y="38267005"/>
          <a:ext cx="7810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 editAs="oneCell">
    <xdr:from>
      <xdr:col>1</xdr:col>
      <xdr:colOff>1494790</xdr:colOff>
      <xdr:row>50</xdr:row>
      <xdr:rowOff>0</xdr:rowOff>
    </xdr:from>
    <xdr:to>
      <xdr:col>1</xdr:col>
      <xdr:colOff>1572895</xdr:colOff>
      <xdr:row>50</xdr:row>
      <xdr:rowOff>0</xdr:rowOff>
    </xdr:to>
    <xdr:sp macro="" textlink="" fLocksText="0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wBAAABAAAAAAC7AUwBAAABAAAAAADSAYoLAABn6wAAewAAAAAAAAABAAAA"/>
            </a:ext>
          </a:extLst>
        </xdr:cNvSpPr>
      </xdr:nvSpPr>
      <xdr:spPr>
        <a:xfrm>
          <a:off x="1875790" y="38267005"/>
          <a:ext cx="7810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 editAs="oneCell">
    <xdr:from>
      <xdr:col>1</xdr:col>
      <xdr:colOff>1494790</xdr:colOff>
      <xdr:row>50</xdr:row>
      <xdr:rowOff>0</xdr:rowOff>
    </xdr:from>
    <xdr:to>
      <xdr:col>1</xdr:col>
      <xdr:colOff>1572895</xdr:colOff>
      <xdr:row>50</xdr:row>
      <xdr:rowOff>0</xdr:rowOff>
    </xdr:to>
    <xdr:sp macro="" textlink="" fLocksText="0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wBAAABAAAAAAC7AUwBAAABAAAAAADSAYoLAABn6wAAewAAAAAAAAABAAAA"/>
            </a:ext>
          </a:extLst>
        </xdr:cNvSpPr>
      </xdr:nvSpPr>
      <xdr:spPr>
        <a:xfrm>
          <a:off x="1875790" y="38267005"/>
          <a:ext cx="7810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 editAs="oneCell">
    <xdr:from>
      <xdr:col>1</xdr:col>
      <xdr:colOff>1496695</xdr:colOff>
      <xdr:row>49</xdr:row>
      <xdr:rowOff>0</xdr:rowOff>
    </xdr:from>
    <xdr:to>
      <xdr:col>1</xdr:col>
      <xdr:colOff>1572260</xdr:colOff>
      <xdr:row>49</xdr:row>
      <xdr:rowOff>0</xdr:rowOff>
    </xdr:to>
    <xdr:sp macro="" textlink="" fLocksText="0">
      <xdr:nvSpPr>
        <xdr:cNvPr id="23" name="Text Box 3">
          <a:extLst>
            <a:ext uri="{FF2B5EF4-FFF2-40B4-BE49-F238E27FC236}">
              <a16:creationId xmlns:a16="http://schemas.microsoft.com/office/drawing/2014/main" id="{2C7309CD-9C5A-46D3-B619-82F1AB5D72BF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772025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1496695</xdr:colOff>
      <xdr:row>49</xdr:row>
      <xdr:rowOff>0</xdr:rowOff>
    </xdr:from>
    <xdr:to>
      <xdr:col>1</xdr:col>
      <xdr:colOff>1572260</xdr:colOff>
      <xdr:row>49</xdr:row>
      <xdr:rowOff>0</xdr:rowOff>
    </xdr:to>
    <xdr:sp macro="" textlink="" fLocksText="0">
      <xdr:nvSpPr>
        <xdr:cNvPr id="24" name="Text Box 3">
          <a:extLst>
            <a:ext uri="{FF2B5EF4-FFF2-40B4-BE49-F238E27FC236}">
              <a16:creationId xmlns:a16="http://schemas.microsoft.com/office/drawing/2014/main" id="{8BECC267-C52B-4BFE-B020-367B7C6BFCD9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772025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1496695</xdr:colOff>
      <xdr:row>49</xdr:row>
      <xdr:rowOff>0</xdr:rowOff>
    </xdr:from>
    <xdr:to>
      <xdr:col>1</xdr:col>
      <xdr:colOff>1572260</xdr:colOff>
      <xdr:row>49</xdr:row>
      <xdr:rowOff>0</xdr:rowOff>
    </xdr:to>
    <xdr:sp macro="" textlink="" fLocksText="0">
      <xdr:nvSpPr>
        <xdr:cNvPr id="25" name="Text Box 3">
          <a:extLst>
            <a:ext uri="{FF2B5EF4-FFF2-40B4-BE49-F238E27FC236}">
              <a16:creationId xmlns:a16="http://schemas.microsoft.com/office/drawing/2014/main" id="{234A29FF-EE37-4FE9-8F83-6AC7BA0B66C5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772025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1496695</xdr:colOff>
      <xdr:row>49</xdr:row>
      <xdr:rowOff>0</xdr:rowOff>
    </xdr:from>
    <xdr:to>
      <xdr:col>1</xdr:col>
      <xdr:colOff>1572260</xdr:colOff>
      <xdr:row>49</xdr:row>
      <xdr:rowOff>0</xdr:rowOff>
    </xdr:to>
    <xdr:sp macro="" textlink="" fLocksText="0">
      <xdr:nvSpPr>
        <xdr:cNvPr id="26" name="Text Box 3">
          <a:extLst>
            <a:ext uri="{FF2B5EF4-FFF2-40B4-BE49-F238E27FC236}">
              <a16:creationId xmlns:a16="http://schemas.microsoft.com/office/drawing/2014/main" id="{0DF19332-C4CD-4A85-B2AD-D1D2897C0106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772025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1496695</xdr:colOff>
      <xdr:row>49</xdr:row>
      <xdr:rowOff>0</xdr:rowOff>
    </xdr:from>
    <xdr:to>
      <xdr:col>1</xdr:col>
      <xdr:colOff>1572260</xdr:colOff>
      <xdr:row>49</xdr:row>
      <xdr:rowOff>0</xdr:rowOff>
    </xdr:to>
    <xdr:sp macro="" textlink="" fLocksText="0">
      <xdr:nvSpPr>
        <xdr:cNvPr id="27" name="Text Box 3">
          <a:extLst>
            <a:ext uri="{FF2B5EF4-FFF2-40B4-BE49-F238E27FC236}">
              <a16:creationId xmlns:a16="http://schemas.microsoft.com/office/drawing/2014/main" id="{34538797-8636-428C-A2A4-3F357E712A91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772025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1496695</xdr:colOff>
      <xdr:row>49</xdr:row>
      <xdr:rowOff>0</xdr:rowOff>
    </xdr:from>
    <xdr:to>
      <xdr:col>1</xdr:col>
      <xdr:colOff>1572260</xdr:colOff>
      <xdr:row>49</xdr:row>
      <xdr:rowOff>0</xdr:rowOff>
    </xdr:to>
    <xdr:sp macro="" textlink="" fLocksText="0">
      <xdr:nvSpPr>
        <xdr:cNvPr id="28" name="Text Box 3">
          <a:extLst>
            <a:ext uri="{FF2B5EF4-FFF2-40B4-BE49-F238E27FC236}">
              <a16:creationId xmlns:a16="http://schemas.microsoft.com/office/drawing/2014/main" id="{BE9F097D-BD12-4312-AADA-640609BB7BEE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772025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1496695</xdr:colOff>
      <xdr:row>49</xdr:row>
      <xdr:rowOff>0</xdr:rowOff>
    </xdr:from>
    <xdr:to>
      <xdr:col>1</xdr:col>
      <xdr:colOff>1572260</xdr:colOff>
      <xdr:row>49</xdr:row>
      <xdr:rowOff>0</xdr:rowOff>
    </xdr:to>
    <xdr:sp macro="" textlink="" fLocksText="0">
      <xdr:nvSpPr>
        <xdr:cNvPr id="29" name="Text Box 3">
          <a:extLst>
            <a:ext uri="{FF2B5EF4-FFF2-40B4-BE49-F238E27FC236}">
              <a16:creationId xmlns:a16="http://schemas.microsoft.com/office/drawing/2014/main" id="{9132268B-35B4-4B4D-9D91-A50B8FAA9FF0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P///w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772025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1496695</xdr:colOff>
      <xdr:row>49</xdr:row>
      <xdr:rowOff>0</xdr:rowOff>
    </xdr:from>
    <xdr:to>
      <xdr:col>1</xdr:col>
      <xdr:colOff>1572260</xdr:colOff>
      <xdr:row>49</xdr:row>
      <xdr:rowOff>0</xdr:rowOff>
    </xdr:to>
    <xdr:sp macro="" textlink="" fLocksText="0">
      <xdr:nvSpPr>
        <xdr:cNvPr id="30" name="Text Box 3">
          <a:extLst>
            <a:ext uri="{FF2B5EF4-FFF2-40B4-BE49-F238E27FC236}">
              <a16:creationId xmlns:a16="http://schemas.microsoft.com/office/drawing/2014/main" id="{0AC50669-A7E5-4A95-BE70-C925E3DB92C2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FlaWv8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772025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1496695</xdr:colOff>
      <xdr:row>49</xdr:row>
      <xdr:rowOff>0</xdr:rowOff>
    </xdr:from>
    <xdr:to>
      <xdr:col>1</xdr:col>
      <xdr:colOff>1572260</xdr:colOff>
      <xdr:row>49</xdr:row>
      <xdr:rowOff>0</xdr:rowOff>
    </xdr:to>
    <xdr:sp macro="" textlink="" fLocksText="0">
      <xdr:nvSpPr>
        <xdr:cNvPr id="31" name="Text Box 3">
          <a:extLst>
            <a:ext uri="{FF2B5EF4-FFF2-40B4-BE49-F238E27FC236}">
              <a16:creationId xmlns:a16="http://schemas.microsoft.com/office/drawing/2014/main" id="{0E306195-46F5-4D70-9CBD-E6C02B59DC2A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772025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32" name="Text Box 3">
          <a:extLst>
            <a:ext uri="{FF2B5EF4-FFF2-40B4-BE49-F238E27FC236}">
              <a16:creationId xmlns:a16="http://schemas.microsoft.com/office/drawing/2014/main" id="{42A84818-C4D4-4C73-8D2D-F8CDABB77FEA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9zb2Y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33" name="Text Box 3">
          <a:extLst>
            <a:ext uri="{FF2B5EF4-FFF2-40B4-BE49-F238E27FC236}">
              <a16:creationId xmlns:a16="http://schemas.microsoft.com/office/drawing/2014/main" id="{09E50CF6-14EE-4B04-AAC1-6167EDA67E54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34" name="Text Box 3">
          <a:extLst>
            <a:ext uri="{FF2B5EF4-FFF2-40B4-BE49-F238E27FC236}">
              <a16:creationId xmlns:a16="http://schemas.microsoft.com/office/drawing/2014/main" id="{AAE106B9-20BD-4C8B-94D6-9FB3C7FF5297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35" name="Text Box 3">
          <a:extLst>
            <a:ext uri="{FF2B5EF4-FFF2-40B4-BE49-F238E27FC236}">
              <a16:creationId xmlns:a16="http://schemas.microsoft.com/office/drawing/2014/main" id="{59522C0D-386E-4CA3-B8FB-6FFBFF97253E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36" name="Text Box 3">
          <a:extLst>
            <a:ext uri="{FF2B5EF4-FFF2-40B4-BE49-F238E27FC236}">
              <a16:creationId xmlns:a16="http://schemas.microsoft.com/office/drawing/2014/main" id="{0C1D9642-8010-4BB1-8F12-5BFB1F5FD53F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37" name="Text Box 3">
          <a:extLst>
            <a:ext uri="{FF2B5EF4-FFF2-40B4-BE49-F238E27FC236}">
              <a16:creationId xmlns:a16="http://schemas.microsoft.com/office/drawing/2014/main" id="{2AB2FCD7-6D70-406F-9D97-E00650469620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38" name="Text Box 3">
          <a:extLst>
            <a:ext uri="{FF2B5EF4-FFF2-40B4-BE49-F238E27FC236}">
              <a16:creationId xmlns:a16="http://schemas.microsoft.com/office/drawing/2014/main" id="{6C6CCE3B-5147-4BB8-84C2-68E3978AC127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39" name="Text Box 3">
          <a:extLst>
            <a:ext uri="{FF2B5EF4-FFF2-40B4-BE49-F238E27FC236}">
              <a16:creationId xmlns:a16="http://schemas.microsoft.com/office/drawing/2014/main" id="{AB870990-8A31-45D4-95ED-5662C5157873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40" name="Text Box 3">
          <a:extLst>
            <a:ext uri="{FF2B5EF4-FFF2-40B4-BE49-F238E27FC236}">
              <a16:creationId xmlns:a16="http://schemas.microsoft.com/office/drawing/2014/main" id="{09D22630-9872-4C94-9446-1ECF4D056653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41" name="Text Box 3">
          <a:extLst>
            <a:ext uri="{FF2B5EF4-FFF2-40B4-BE49-F238E27FC236}">
              <a16:creationId xmlns:a16="http://schemas.microsoft.com/office/drawing/2014/main" id="{E48B8831-5A84-4E31-95C3-D28AD9722D35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42" name="Text Box 3">
          <a:extLst>
            <a:ext uri="{FF2B5EF4-FFF2-40B4-BE49-F238E27FC236}">
              <a16:creationId xmlns:a16="http://schemas.microsoft.com/office/drawing/2014/main" id="{6DF81AA5-151B-4ACE-ABDA-526456393043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46</xdr:row>
      <xdr:rowOff>0</xdr:rowOff>
    </xdr:from>
    <xdr:to>
      <xdr:col>1</xdr:col>
      <xdr:colOff>1542415</xdr:colOff>
      <xdr:row>47</xdr:row>
      <xdr:rowOff>10795</xdr:rowOff>
    </xdr:to>
    <xdr:sp macro="" textlink="" fLocksText="0">
      <xdr:nvSpPr>
        <xdr:cNvPr id="43" name="Text Box 3">
          <a:extLst>
            <a:ext uri="{FF2B5EF4-FFF2-40B4-BE49-F238E27FC236}">
              <a16:creationId xmlns:a16="http://schemas.microsoft.com/office/drawing/2014/main" id="{6A2AE955-F4DE-487D-BBD2-EB59C0FE1BD9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37197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1465580</xdr:colOff>
      <xdr:row>46</xdr:row>
      <xdr:rowOff>0</xdr:rowOff>
    </xdr:from>
    <xdr:to>
      <xdr:col>1</xdr:col>
      <xdr:colOff>1544320</xdr:colOff>
      <xdr:row>47</xdr:row>
      <xdr:rowOff>10795</xdr:rowOff>
    </xdr:to>
    <xdr:sp macro="" textlink="" fLocksText="0">
      <xdr:nvSpPr>
        <xdr:cNvPr id="44" name="Text Box 3">
          <a:extLst>
            <a:ext uri="{FF2B5EF4-FFF2-40B4-BE49-F238E27FC236}">
              <a16:creationId xmlns:a16="http://schemas.microsoft.com/office/drawing/2014/main" id="{70605EBC-531E-4498-A0B8-DD4294DE9526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371975"/>
          <a:ext cx="78740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1465580</xdr:colOff>
      <xdr:row>46</xdr:row>
      <xdr:rowOff>0</xdr:rowOff>
    </xdr:from>
    <xdr:to>
      <xdr:col>1</xdr:col>
      <xdr:colOff>1544320</xdr:colOff>
      <xdr:row>47</xdr:row>
      <xdr:rowOff>10795</xdr:rowOff>
    </xdr:to>
    <xdr:sp macro="" textlink="" fLocksText="0">
      <xdr:nvSpPr>
        <xdr:cNvPr id="45" name="Text Box 3">
          <a:extLst>
            <a:ext uri="{FF2B5EF4-FFF2-40B4-BE49-F238E27FC236}">
              <a16:creationId xmlns:a16="http://schemas.microsoft.com/office/drawing/2014/main" id="{E1E8CFE0-63C8-4FBA-B866-3CAB41D79F53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371975"/>
          <a:ext cx="78740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1465580</xdr:colOff>
      <xdr:row>46</xdr:row>
      <xdr:rowOff>0</xdr:rowOff>
    </xdr:from>
    <xdr:to>
      <xdr:col>1</xdr:col>
      <xdr:colOff>1544320</xdr:colOff>
      <xdr:row>47</xdr:row>
      <xdr:rowOff>10795</xdr:rowOff>
    </xdr:to>
    <xdr:sp macro="" textlink="" fLocksText="0">
      <xdr:nvSpPr>
        <xdr:cNvPr id="46" name="Text Box 3">
          <a:extLst>
            <a:ext uri="{FF2B5EF4-FFF2-40B4-BE49-F238E27FC236}">
              <a16:creationId xmlns:a16="http://schemas.microsoft.com/office/drawing/2014/main" id="{4AC23240-B38D-4EA2-B05F-20FA79EDDD34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371975"/>
          <a:ext cx="78740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1465580</xdr:colOff>
      <xdr:row>46</xdr:row>
      <xdr:rowOff>0</xdr:rowOff>
    </xdr:from>
    <xdr:to>
      <xdr:col>1</xdr:col>
      <xdr:colOff>1544320</xdr:colOff>
      <xdr:row>47</xdr:row>
      <xdr:rowOff>10795</xdr:rowOff>
    </xdr:to>
    <xdr:sp macro="" textlink="" fLocksText="0">
      <xdr:nvSpPr>
        <xdr:cNvPr id="47" name="Text Box 3">
          <a:extLst>
            <a:ext uri="{FF2B5EF4-FFF2-40B4-BE49-F238E27FC236}">
              <a16:creationId xmlns:a16="http://schemas.microsoft.com/office/drawing/2014/main" id="{2BE5A499-DBC9-4EE3-B4D7-13C842CE133F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371975"/>
          <a:ext cx="78740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1465580</xdr:colOff>
      <xdr:row>46</xdr:row>
      <xdr:rowOff>0</xdr:rowOff>
    </xdr:from>
    <xdr:to>
      <xdr:col>1</xdr:col>
      <xdr:colOff>1544320</xdr:colOff>
      <xdr:row>47</xdr:row>
      <xdr:rowOff>10795</xdr:rowOff>
    </xdr:to>
    <xdr:sp macro="" textlink="" fLocksText="0">
      <xdr:nvSpPr>
        <xdr:cNvPr id="48" name="Text Box 3">
          <a:extLst>
            <a:ext uri="{FF2B5EF4-FFF2-40B4-BE49-F238E27FC236}">
              <a16:creationId xmlns:a16="http://schemas.microsoft.com/office/drawing/2014/main" id="{BAA575B7-9A40-431A-A8EA-8B363F9B1FFB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371975"/>
          <a:ext cx="78740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1465580</xdr:colOff>
      <xdr:row>46</xdr:row>
      <xdr:rowOff>0</xdr:rowOff>
    </xdr:from>
    <xdr:to>
      <xdr:col>1</xdr:col>
      <xdr:colOff>1544320</xdr:colOff>
      <xdr:row>47</xdr:row>
      <xdr:rowOff>10795</xdr:rowOff>
    </xdr:to>
    <xdr:sp macro="" textlink="" fLocksText="0">
      <xdr:nvSpPr>
        <xdr:cNvPr id="49" name="Text Box 3">
          <a:extLst>
            <a:ext uri="{FF2B5EF4-FFF2-40B4-BE49-F238E27FC236}">
              <a16:creationId xmlns:a16="http://schemas.microsoft.com/office/drawing/2014/main" id="{5DA142F0-8BF4-4663-96F3-30737EE20177}"/>
            </a:ext>
          </a:extLst>
        </xdr:cNvPr>
        <xdr:cNvSpPr>
          <a:extLst>
            <a:ext uri="smNativeData">
              <pm:smNativeData xmlns="" xmlns:pm="smNativeData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371975"/>
          <a:ext cx="78740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 Cyr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72"/>
  <sheetViews>
    <sheetView tabSelected="1" view="pageBreakPreview" topLeftCell="A19" zoomScaleNormal="100" zoomScaleSheetLayoutView="100" workbookViewId="0">
      <selection activeCell="G10" sqref="G10:G11"/>
    </sheetView>
  </sheetViews>
  <sheetFormatPr defaultRowHeight="15" customHeight="1"/>
  <cols>
    <col min="1" max="1" width="6" style="1" customWidth="1"/>
    <col min="2" max="2" width="54.42578125" style="2" customWidth="1"/>
    <col min="3" max="3" width="10.7109375" style="3" customWidth="1"/>
    <col min="4" max="4" width="12.28515625" style="3" customWidth="1"/>
    <col min="5" max="5" width="9" style="3" customWidth="1"/>
    <col min="6" max="6" width="19.42578125" style="4" customWidth="1"/>
    <col min="7" max="7" width="16.7109375" style="3" customWidth="1"/>
    <col min="8" max="9" width="23.140625" style="5" hidden="1" customWidth="1"/>
    <col min="10" max="10" width="21" style="5" hidden="1" customWidth="1"/>
    <col min="11" max="12" width="8.7109375" style="5" hidden="1"/>
    <col min="13" max="13" width="12.85546875" style="5" hidden="1" customWidth="1"/>
    <col min="14" max="14" width="17" style="5" hidden="1" customWidth="1"/>
    <col min="15" max="15" width="1.7109375" style="5" hidden="1" customWidth="1"/>
    <col min="16" max="16" width="12.85546875" style="5" hidden="1" customWidth="1"/>
    <col min="17" max="17" width="17" style="5" hidden="1" customWidth="1"/>
    <col min="18" max="18" width="1.7109375" style="5" hidden="1" customWidth="1"/>
    <col min="19" max="19" width="12.85546875" style="5" hidden="1" customWidth="1"/>
    <col min="20" max="20" width="17" style="5" hidden="1" customWidth="1"/>
    <col min="21" max="21" width="1.7109375" style="5" hidden="1" customWidth="1"/>
    <col min="22" max="22" width="12.85546875" style="5" hidden="1" customWidth="1"/>
    <col min="23" max="23" width="17" style="5" hidden="1" customWidth="1"/>
    <col min="24" max="24" width="1.7109375" style="5" hidden="1" customWidth="1"/>
    <col min="25" max="25" width="12.85546875" style="5" hidden="1" customWidth="1"/>
    <col min="26" max="26" width="17" style="5" hidden="1" customWidth="1"/>
    <col min="27" max="27" width="17" style="5" customWidth="1"/>
    <col min="28" max="255" width="9.140625" style="5" customWidth="1"/>
  </cols>
  <sheetData>
    <row r="1" spans="1:255" s="6" customFormat="1" ht="15.75" hidden="1">
      <c r="A1" s="7" t="s">
        <v>0</v>
      </c>
      <c r="B1" s="3"/>
      <c r="C1" s="8"/>
      <c r="D1" s="8"/>
      <c r="E1" s="8"/>
      <c r="F1" s="3"/>
      <c r="G1" s="3"/>
      <c r="H1" s="9"/>
    </row>
    <row r="2" spans="1:255" s="6" customFormat="1" ht="15.75" hidden="1">
      <c r="A2" s="7" t="s">
        <v>1</v>
      </c>
      <c r="B2" s="2"/>
      <c r="C2" s="3"/>
      <c r="D2" s="8"/>
      <c r="E2" s="8"/>
      <c r="F2" s="3"/>
      <c r="G2" s="3"/>
      <c r="H2" s="9"/>
    </row>
    <row r="3" spans="1:255" s="6" customFormat="1" ht="15.75" hidden="1">
      <c r="A3" s="189" t="s">
        <v>2</v>
      </c>
      <c r="B3" s="189"/>
      <c r="C3" s="8"/>
      <c r="D3" s="8"/>
      <c r="E3" s="8"/>
      <c r="F3" s="3"/>
      <c r="G3" s="3"/>
      <c r="H3" s="9"/>
    </row>
    <row r="4" spans="1:255" s="6" customFormat="1" ht="15.75" hidden="1">
      <c r="A4" s="7" t="s">
        <v>3</v>
      </c>
      <c r="B4" s="3"/>
      <c r="C4" s="8"/>
      <c r="D4" s="8"/>
      <c r="E4" s="8"/>
      <c r="F4" s="3"/>
      <c r="G4" s="3"/>
      <c r="H4" s="9"/>
    </row>
    <row r="5" spans="1:255" s="6" customFormat="1" ht="15.75" hidden="1">
      <c r="A5" s="10" t="s">
        <v>4</v>
      </c>
      <c r="B5" s="11"/>
      <c r="C5" s="8"/>
      <c r="D5" s="8"/>
      <c r="E5" s="8"/>
      <c r="F5" s="3"/>
      <c r="G5" s="3"/>
      <c r="H5" s="9"/>
    </row>
    <row r="6" spans="1:255" s="6" customFormat="1" ht="15.75">
      <c r="A6" s="142"/>
      <c r="B6" s="143"/>
      <c r="C6" s="144"/>
      <c r="D6" s="144"/>
      <c r="E6" s="144"/>
      <c r="F6" s="192" t="s">
        <v>73</v>
      </c>
      <c r="G6" s="192"/>
      <c r="H6" s="9"/>
    </row>
    <row r="7" spans="1:255" s="6" customFormat="1" ht="15.75">
      <c r="A7" s="190" t="s">
        <v>5</v>
      </c>
      <c r="B7" s="190"/>
      <c r="C7" s="190"/>
      <c r="D7" s="190"/>
      <c r="E7" s="190"/>
      <c r="F7" s="190"/>
      <c r="G7" s="190"/>
      <c r="H7" s="9"/>
    </row>
    <row r="8" spans="1:255" s="6" customFormat="1" ht="15.75">
      <c r="A8" s="191" t="s">
        <v>6</v>
      </c>
      <c r="B8" s="191"/>
      <c r="C8" s="191"/>
      <c r="D8" s="191"/>
      <c r="E8" s="191"/>
      <c r="F8" s="191"/>
      <c r="G8" s="191"/>
      <c r="H8" s="9"/>
    </row>
    <row r="9" spans="1:255" s="6" customFormat="1" ht="4.5" customHeight="1">
      <c r="A9" s="185"/>
      <c r="B9" s="185"/>
      <c r="C9" s="185"/>
      <c r="D9" s="185"/>
      <c r="E9" s="185"/>
      <c r="F9" s="185"/>
      <c r="G9" s="185"/>
      <c r="H9" s="9"/>
      <c r="I9" s="9"/>
    </row>
    <row r="10" spans="1:255" ht="19.5" customHeight="1">
      <c r="A10" s="186" t="s">
        <v>7</v>
      </c>
      <c r="B10" s="187" t="s">
        <v>8</v>
      </c>
      <c r="C10" s="187" t="s">
        <v>9</v>
      </c>
      <c r="D10" s="187" t="s">
        <v>10</v>
      </c>
      <c r="E10" s="187" t="s">
        <v>11</v>
      </c>
      <c r="F10" s="188" t="s">
        <v>12</v>
      </c>
      <c r="G10" s="188" t="s">
        <v>13</v>
      </c>
      <c r="H10" t="s">
        <v>14</v>
      </c>
      <c r="I10"/>
      <c r="J10" t="s">
        <v>14</v>
      </c>
      <c r="K10"/>
      <c r="L10"/>
      <c r="M10" s="173" t="s">
        <v>15</v>
      </c>
      <c r="N10" s="174"/>
      <c r="O10" s="14"/>
      <c r="P10" s="177" t="s">
        <v>16</v>
      </c>
      <c r="Q10" s="178"/>
      <c r="R10" s="14"/>
      <c r="S10" s="181" t="s">
        <v>17</v>
      </c>
      <c r="T10" s="182"/>
      <c r="U10" s="15"/>
      <c r="V10" s="181" t="s">
        <v>18</v>
      </c>
      <c r="W10" s="182"/>
      <c r="X10" s="16"/>
      <c r="Y10" s="173" t="s">
        <v>19</v>
      </c>
      <c r="Z10" s="174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1:255" ht="87" customHeight="1">
      <c r="A11" s="186"/>
      <c r="B11" s="187"/>
      <c r="C11" s="187"/>
      <c r="D11" s="187"/>
      <c r="E11" s="187"/>
      <c r="F11" s="188"/>
      <c r="G11" s="188"/>
      <c r="H11"/>
      <c r="I11"/>
      <c r="J11"/>
      <c r="K11"/>
      <c r="L11"/>
      <c r="M11" s="175"/>
      <c r="N11" s="176"/>
      <c r="O11" s="17"/>
      <c r="P11" s="179"/>
      <c r="Q11" s="180"/>
      <c r="R11" s="17"/>
      <c r="S11" s="183"/>
      <c r="T11" s="184"/>
      <c r="U11" s="18"/>
      <c r="V11" s="183"/>
      <c r="W11" s="184"/>
      <c r="X11" s="19"/>
      <c r="Y11" s="175"/>
      <c r="Z11" s="176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1:255" s="20" customFormat="1">
      <c r="A12" s="21" t="s">
        <v>20</v>
      </c>
      <c r="B12" s="21" t="s">
        <v>21</v>
      </c>
      <c r="C12" s="21" t="s">
        <v>22</v>
      </c>
      <c r="D12" s="21" t="s">
        <v>23</v>
      </c>
      <c r="E12" s="21" t="s">
        <v>24</v>
      </c>
      <c r="F12" s="21" t="s">
        <v>25</v>
      </c>
      <c r="G12" s="21" t="s">
        <v>26</v>
      </c>
      <c r="H12" s="20" t="s">
        <v>27</v>
      </c>
      <c r="J12" s="20" t="s">
        <v>27</v>
      </c>
      <c r="M12" s="22"/>
      <c r="N12" s="22"/>
      <c r="O12" s="23"/>
      <c r="P12" s="24"/>
      <c r="Q12" s="24"/>
      <c r="R12" s="23"/>
      <c r="S12" s="22"/>
      <c r="T12" s="22"/>
      <c r="U12" s="23"/>
      <c r="V12" s="22"/>
      <c r="W12" s="22"/>
      <c r="Y12" s="22"/>
      <c r="Z12" s="22"/>
    </row>
    <row r="13" spans="1:255" s="25" customFormat="1" ht="15.75">
      <c r="A13" s="170" t="s">
        <v>62</v>
      </c>
      <c r="B13" s="170"/>
      <c r="C13" s="170"/>
      <c r="D13" s="170"/>
      <c r="E13" s="170"/>
      <c r="F13" s="170"/>
      <c r="G13" s="170"/>
      <c r="H13" s="26"/>
      <c r="I13" s="27"/>
      <c r="J13" s="28"/>
      <c r="M13" s="29"/>
      <c r="N13" s="29"/>
      <c r="O13" s="30"/>
      <c r="P13" s="31"/>
      <c r="Q13" s="31"/>
      <c r="R13" s="30"/>
      <c r="S13" s="29"/>
      <c r="T13" s="29"/>
      <c r="U13" s="30"/>
      <c r="V13" s="29"/>
      <c r="W13" s="29"/>
      <c r="Y13" s="29"/>
      <c r="Z13" s="29"/>
    </row>
    <row r="14" spans="1:255" s="32" customFormat="1">
      <c r="A14" s="110">
        <v>1</v>
      </c>
      <c r="B14" s="34" t="s">
        <v>28</v>
      </c>
      <c r="C14" s="35"/>
      <c r="D14" s="35"/>
      <c r="E14" s="35"/>
      <c r="F14" s="36"/>
      <c r="G14" s="37"/>
      <c r="M14" s="38"/>
      <c r="N14" s="38"/>
      <c r="O14" s="39"/>
      <c r="P14" s="40"/>
      <c r="Q14" s="40"/>
      <c r="R14" s="39"/>
      <c r="S14" s="41"/>
      <c r="T14" s="38"/>
      <c r="U14" s="39"/>
      <c r="V14" s="41"/>
      <c r="W14" s="38"/>
      <c r="Y14" s="41"/>
      <c r="Z14" s="38"/>
    </row>
    <row r="15" spans="1:255" ht="30">
      <c r="A15" s="43">
        <f>1</f>
        <v>1</v>
      </c>
      <c r="B15" s="57" t="s">
        <v>30</v>
      </c>
      <c r="C15" s="44" t="s">
        <v>29</v>
      </c>
      <c r="D15" s="45">
        <v>42.008000000000003</v>
      </c>
      <c r="E15" s="46">
        <v>7.35</v>
      </c>
      <c r="F15" s="58">
        <v>161562.09795</v>
      </c>
      <c r="G15" s="48">
        <f>ROUND(D15*E15*F15,2)</f>
        <v>49883719.490000002</v>
      </c>
      <c r="H15" s="5">
        <v>141592.93622500001</v>
      </c>
      <c r="I15" s="49">
        <f t="shared" ref="I15:I39" si="0">F15*100/H15-100</f>
        <v>14</v>
      </c>
      <c r="J15" s="5">
        <v>70107.062999999995</v>
      </c>
      <c r="M15" s="50">
        <v>7.35</v>
      </c>
      <c r="N15" s="48">
        <f>ROUND(F15*M15*D15,2)</f>
        <v>49883719.490000002</v>
      </c>
      <c r="O15" s="59"/>
      <c r="P15" s="60">
        <v>5.9950000000000001</v>
      </c>
      <c r="Q15" s="61">
        <v>59033903.590000004</v>
      </c>
      <c r="R15" s="59"/>
      <c r="S15" s="46">
        <v>0</v>
      </c>
      <c r="T15" s="54">
        <v>0</v>
      </c>
      <c r="U15" s="59"/>
      <c r="V15" s="62">
        <v>1.333</v>
      </c>
      <c r="W15" s="54">
        <f>ROUND(V15*D15*F15,2)</f>
        <v>9046938.5099999998</v>
      </c>
      <c r="Y15" s="46">
        <v>0</v>
      </c>
      <c r="Z15" s="54">
        <f t="shared" ref="Z15:Z19" si="1">N15-Q15-T15-W15</f>
        <v>-18197122.609999999</v>
      </c>
    </row>
    <row r="16" spans="1:255">
      <c r="A16" s="43">
        <f>A15+1</f>
        <v>2</v>
      </c>
      <c r="B16" s="57" t="s">
        <v>31</v>
      </c>
      <c r="C16" s="63"/>
      <c r="D16" s="45"/>
      <c r="E16" s="64"/>
      <c r="F16" s="47"/>
      <c r="G16" s="48"/>
      <c r="I16" s="49" t="e">
        <f t="shared" si="0"/>
        <v>#DIV/0!</v>
      </c>
      <c r="M16" s="50"/>
      <c r="N16" s="48"/>
      <c r="O16" s="59"/>
      <c r="P16" s="65"/>
      <c r="Q16" s="61"/>
      <c r="R16" s="59"/>
      <c r="S16" s="46"/>
      <c r="T16" s="54"/>
      <c r="U16" s="59"/>
      <c r="V16" s="66"/>
      <c r="W16" s="64"/>
      <c r="Y16" s="46">
        <f>M16-P16-S16-V16</f>
        <v>0</v>
      </c>
      <c r="Z16" s="54">
        <f t="shared" si="1"/>
        <v>0</v>
      </c>
    </row>
    <row r="17" spans="1:26" ht="24.75">
      <c r="A17" s="43">
        <f>A16+1</f>
        <v>3</v>
      </c>
      <c r="B17" s="67" t="s">
        <v>32</v>
      </c>
      <c r="C17" s="68" t="s">
        <v>33</v>
      </c>
      <c r="D17" s="45">
        <v>7</v>
      </c>
      <c r="E17" s="46">
        <v>2</v>
      </c>
      <c r="F17" s="47">
        <v>17614.43475</v>
      </c>
      <c r="G17" s="48">
        <f>ROUND(D17*E17*F17,2)</f>
        <v>246602.09</v>
      </c>
      <c r="H17" s="5">
        <v>6005.2367860000004</v>
      </c>
      <c r="I17" s="49">
        <f t="shared" si="0"/>
        <v>193</v>
      </c>
      <c r="J17" s="5">
        <v>7840.9560000000001</v>
      </c>
      <c r="M17" s="50">
        <v>56</v>
      </c>
      <c r="N17" s="48">
        <f>ROUND(F17*M17,2)</f>
        <v>986408.35</v>
      </c>
      <c r="O17" s="59"/>
      <c r="P17" s="52">
        <v>24</v>
      </c>
      <c r="Q17" s="53">
        <v>334471.09999999998</v>
      </c>
      <c r="R17" s="59"/>
      <c r="S17" s="46">
        <v>0</v>
      </c>
      <c r="T17" s="54">
        <f>ROUND(F17*S17,2)</f>
        <v>0</v>
      </c>
      <c r="U17" s="59"/>
      <c r="V17" s="46">
        <v>0</v>
      </c>
      <c r="W17" s="54">
        <f>ROUND(F17*V17,2)</f>
        <v>0</v>
      </c>
      <c r="Y17" s="46">
        <f>M17-P17-S17-V17</f>
        <v>32</v>
      </c>
      <c r="Z17" s="54">
        <f t="shared" si="1"/>
        <v>651937.25</v>
      </c>
    </row>
    <row r="18" spans="1:26" ht="24.75">
      <c r="A18" s="43">
        <f>A17+1</f>
        <v>4</v>
      </c>
      <c r="B18" s="67" t="s">
        <v>34</v>
      </c>
      <c r="C18" s="68" t="s">
        <v>33</v>
      </c>
      <c r="D18" s="45">
        <v>6</v>
      </c>
      <c r="E18" s="46">
        <v>2</v>
      </c>
      <c r="F18" s="47">
        <v>15483.567778000001</v>
      </c>
      <c r="G18" s="48">
        <f>ROUND(D18*E18*F18,2)</f>
        <v>185802.81</v>
      </c>
      <c r="H18" s="5">
        <v>6467.6131249999999</v>
      </c>
      <c r="I18" s="49">
        <f t="shared" si="0"/>
        <v>139</v>
      </c>
      <c r="J18" s="5">
        <v>8259.4290000000001</v>
      </c>
      <c r="M18" s="50">
        <v>32</v>
      </c>
      <c r="N18" s="48">
        <f>ROUND(F18*M18,2)</f>
        <v>495474.17</v>
      </c>
      <c r="O18" s="59"/>
      <c r="P18" s="52">
        <v>16</v>
      </c>
      <c r="Q18" s="53">
        <f>ROUND(F18*P18,2)</f>
        <v>247737.08</v>
      </c>
      <c r="R18" s="59"/>
      <c r="S18" s="46">
        <v>0</v>
      </c>
      <c r="T18" s="54">
        <f>ROUND(F18*S18,2)</f>
        <v>0</v>
      </c>
      <c r="U18" s="59"/>
      <c r="V18" s="46">
        <v>0</v>
      </c>
      <c r="W18" s="54">
        <v>0</v>
      </c>
      <c r="Y18" s="46">
        <f>M18-P18-S18-V18</f>
        <v>16</v>
      </c>
      <c r="Z18" s="54">
        <f t="shared" si="1"/>
        <v>247737.09</v>
      </c>
    </row>
    <row r="19" spans="1:26" ht="24.75">
      <c r="A19" s="43">
        <f>A18+1</f>
        <v>5</v>
      </c>
      <c r="B19" s="69" t="s">
        <v>35</v>
      </c>
      <c r="C19" s="68" t="s">
        <v>33</v>
      </c>
      <c r="D19" s="45">
        <v>13</v>
      </c>
      <c r="E19" s="46">
        <v>1</v>
      </c>
      <c r="F19" s="47">
        <v>50207.017368000001</v>
      </c>
      <c r="G19" s="48">
        <f>ROUND(D19*E19*F19,2)</f>
        <v>652691.23</v>
      </c>
      <c r="H19" s="5">
        <v>19237.933182000001</v>
      </c>
      <c r="I19" s="49">
        <f t="shared" si="0"/>
        <v>161</v>
      </c>
      <c r="J19" s="5">
        <v>24184.25</v>
      </c>
      <c r="M19" s="50">
        <v>22</v>
      </c>
      <c r="N19" s="48">
        <f>ROUND(F19*M19,2)</f>
        <v>1104554.3799999999</v>
      </c>
      <c r="O19" s="59"/>
      <c r="P19" s="52">
        <v>0</v>
      </c>
      <c r="Q19" s="53">
        <f>ROUND(F19*P19,2)</f>
        <v>0</v>
      </c>
      <c r="R19" s="59"/>
      <c r="S19" s="46">
        <v>0</v>
      </c>
      <c r="T19" s="54">
        <f>ROUND(F19*S19,2)</f>
        <v>0</v>
      </c>
      <c r="U19" s="59"/>
      <c r="V19" s="46">
        <v>18</v>
      </c>
      <c r="W19" s="54">
        <f>ROUND(F19*V19,2)</f>
        <v>903726.31</v>
      </c>
      <c r="Y19" s="46">
        <f>M19-P19-S19-V19</f>
        <v>4</v>
      </c>
      <c r="Z19" s="54">
        <f t="shared" si="1"/>
        <v>200828.07</v>
      </c>
    </row>
    <row r="20" spans="1:26" s="42" customFormat="1">
      <c r="A20" s="43">
        <f>A19+1</f>
        <v>6</v>
      </c>
      <c r="B20" s="70" t="s">
        <v>36</v>
      </c>
      <c r="C20" s="71"/>
      <c r="D20" s="72"/>
      <c r="E20" s="73"/>
      <c r="F20" s="74"/>
      <c r="G20" s="75">
        <f>SUM(G15:G19)</f>
        <v>50968815.619999997</v>
      </c>
      <c r="I20" s="49" t="e">
        <f t="shared" si="0"/>
        <v>#DIV/0!</v>
      </c>
      <c r="M20" s="50"/>
      <c r="N20" s="75">
        <f>SUM(N15:N19)</f>
        <v>52470156.390000001</v>
      </c>
      <c r="O20" s="51"/>
      <c r="P20" s="76"/>
      <c r="Q20" s="77">
        <f>SUM(Q15:Q19)</f>
        <v>59616111.770000003</v>
      </c>
      <c r="R20" s="51"/>
      <c r="S20" s="78"/>
      <c r="T20" s="79">
        <f>SUM(T15:T19)</f>
        <v>0</v>
      </c>
      <c r="U20" s="51"/>
      <c r="V20" s="78"/>
      <c r="W20" s="79">
        <f>SUM(W15:W19)</f>
        <v>9950664.8200000003</v>
      </c>
      <c r="Y20" s="78"/>
      <c r="Z20" s="75">
        <f>SUM(Z15:Z19)</f>
        <v>-17096620.199999999</v>
      </c>
    </row>
    <row r="21" spans="1:26" s="32" customFormat="1">
      <c r="A21" s="43">
        <f t="shared" ref="A21:A50" si="2">A20+1</f>
        <v>7</v>
      </c>
      <c r="B21" s="34" t="s">
        <v>37</v>
      </c>
      <c r="C21" s="37"/>
      <c r="D21" s="35"/>
      <c r="E21" s="35"/>
      <c r="F21" s="80"/>
      <c r="G21" s="81"/>
      <c r="I21" s="49" t="e">
        <f t="shared" si="0"/>
        <v>#DIV/0!</v>
      </c>
      <c r="M21" s="50"/>
      <c r="N21" s="82"/>
      <c r="O21" s="39"/>
      <c r="P21" s="40"/>
      <c r="Q21" s="83"/>
      <c r="R21" s="39"/>
      <c r="S21" s="38"/>
      <c r="T21" s="82"/>
      <c r="U21" s="39"/>
      <c r="V21" s="38"/>
      <c r="W21" s="82"/>
      <c r="Y21" s="38"/>
      <c r="Z21" s="82"/>
    </row>
    <row r="22" spans="1:26" s="32" customFormat="1">
      <c r="A22" s="43">
        <f t="shared" si="2"/>
        <v>8</v>
      </c>
      <c r="B22" s="171" t="s">
        <v>38</v>
      </c>
      <c r="C22" s="171"/>
      <c r="D22" s="171"/>
      <c r="E22" s="171"/>
      <c r="F22" s="80"/>
      <c r="G22" s="81"/>
      <c r="I22" s="49" t="e">
        <f t="shared" si="0"/>
        <v>#DIV/0!</v>
      </c>
      <c r="M22" s="84"/>
      <c r="N22" s="38"/>
      <c r="O22" s="39"/>
      <c r="P22" s="85"/>
      <c r="Q22" s="40"/>
      <c r="R22" s="39"/>
      <c r="S22" s="41"/>
      <c r="T22" s="38"/>
      <c r="U22" s="39"/>
      <c r="V22" s="41"/>
      <c r="W22" s="38"/>
      <c r="Y22" s="41"/>
      <c r="Z22" s="38"/>
    </row>
    <row r="23" spans="1:26" s="32" customFormat="1" ht="30">
      <c r="A23" s="43">
        <f t="shared" si="2"/>
        <v>9</v>
      </c>
      <c r="B23" s="67" t="s">
        <v>39</v>
      </c>
      <c r="C23" s="33" t="s">
        <v>40</v>
      </c>
      <c r="D23" s="86">
        <v>30</v>
      </c>
      <c r="E23" s="35"/>
      <c r="F23" s="87">
        <v>623.44899999999996</v>
      </c>
      <c r="G23" s="48">
        <f t="shared" ref="G23:G35" si="3">ROUND(D23*F23,2)</f>
        <v>18703.47</v>
      </c>
      <c r="H23" s="5">
        <v>492.66849999999999</v>
      </c>
      <c r="I23" s="49">
        <f t="shared" si="0"/>
        <v>27</v>
      </c>
      <c r="M23" s="86">
        <v>40</v>
      </c>
      <c r="N23" s="54">
        <f t="shared" ref="N23:N35" si="4">ROUND(F23*M23,2)</f>
        <v>24937.96</v>
      </c>
      <c r="O23" s="55"/>
      <c r="P23" s="88">
        <v>10</v>
      </c>
      <c r="Q23" s="53">
        <f>ROUND(F23*P23,2)+0.02</f>
        <v>6234.51</v>
      </c>
      <c r="R23" s="55"/>
      <c r="S23" s="46">
        <v>0</v>
      </c>
      <c r="T23" s="54">
        <f t="shared" ref="T23:T35" si="5">ROUND(F23*S23,2)</f>
        <v>0</v>
      </c>
      <c r="U23" s="55"/>
      <c r="V23" s="46">
        <f t="shared" ref="V23:V35" si="6">M23-P23-S23</f>
        <v>30</v>
      </c>
      <c r="W23" s="54">
        <f t="shared" ref="W23:W35" si="7">ROUND(F23*V23,2)</f>
        <v>18703.47</v>
      </c>
      <c r="X23" s="56"/>
      <c r="Y23" s="89">
        <f t="shared" ref="Y23:Y35" si="8">M23-P23-S23-V23</f>
        <v>0</v>
      </c>
      <c r="Z23" s="54">
        <f t="shared" ref="Z23:Z35" si="9">N23-Q23-T23-W23</f>
        <v>-0.02</v>
      </c>
    </row>
    <row r="24" spans="1:26" ht="30">
      <c r="A24" s="43">
        <f t="shared" si="2"/>
        <v>10</v>
      </c>
      <c r="B24" s="67" t="s">
        <v>63</v>
      </c>
      <c r="C24" s="90" t="s">
        <v>40</v>
      </c>
      <c r="D24" s="86">
        <v>7</v>
      </c>
      <c r="E24" s="90"/>
      <c r="F24" s="87">
        <v>10595.620222</v>
      </c>
      <c r="G24" s="48">
        <f t="shared" si="3"/>
        <v>74169.34</v>
      </c>
      <c r="H24" s="5">
        <v>6119.2340910000003</v>
      </c>
      <c r="I24" s="49">
        <f t="shared" si="0"/>
        <v>73</v>
      </c>
      <c r="J24" s="5">
        <v>2593.413</v>
      </c>
      <c r="M24" s="86">
        <v>30</v>
      </c>
      <c r="N24" s="54">
        <f t="shared" si="4"/>
        <v>317868.61</v>
      </c>
      <c r="O24" s="59"/>
      <c r="P24" s="88">
        <v>0</v>
      </c>
      <c r="Q24" s="53">
        <f t="shared" ref="Q24:Q35" si="10">ROUND(F24*P24,2)</f>
        <v>0</v>
      </c>
      <c r="R24" s="59"/>
      <c r="S24" s="46">
        <v>0</v>
      </c>
      <c r="T24" s="54">
        <f t="shared" si="5"/>
        <v>0</v>
      </c>
      <c r="U24" s="59"/>
      <c r="V24" s="46">
        <f t="shared" si="6"/>
        <v>30</v>
      </c>
      <c r="W24" s="54">
        <f t="shared" si="7"/>
        <v>317868.61</v>
      </c>
      <c r="Y24" s="89">
        <f t="shared" si="8"/>
        <v>0</v>
      </c>
      <c r="Z24" s="54">
        <f t="shared" si="9"/>
        <v>0</v>
      </c>
    </row>
    <row r="25" spans="1:26">
      <c r="A25" s="43">
        <f t="shared" si="2"/>
        <v>11</v>
      </c>
      <c r="B25" s="67" t="s">
        <v>41</v>
      </c>
      <c r="C25" s="33" t="s">
        <v>40</v>
      </c>
      <c r="D25" s="86">
        <v>14</v>
      </c>
      <c r="E25" s="45"/>
      <c r="F25" s="87">
        <v>2658.4085</v>
      </c>
      <c r="G25" s="48">
        <f t="shared" si="3"/>
        <v>37217.72</v>
      </c>
      <c r="H25" s="5">
        <v>6110.8504999999996</v>
      </c>
      <c r="I25" s="49">
        <f t="shared" si="0"/>
        <v>-56</v>
      </c>
      <c r="J25" s="5">
        <v>5138.2060000000001</v>
      </c>
      <c r="M25" s="86">
        <v>20</v>
      </c>
      <c r="N25" s="54">
        <f t="shared" si="4"/>
        <v>53168.17</v>
      </c>
      <c r="O25" s="59"/>
      <c r="P25" s="88">
        <v>10</v>
      </c>
      <c r="Q25" s="53">
        <f t="shared" si="10"/>
        <v>26584.09</v>
      </c>
      <c r="R25" s="59"/>
      <c r="S25" s="46">
        <v>0</v>
      </c>
      <c r="T25" s="54">
        <f t="shared" si="5"/>
        <v>0</v>
      </c>
      <c r="U25" s="59"/>
      <c r="V25" s="46">
        <f t="shared" si="6"/>
        <v>10</v>
      </c>
      <c r="W25" s="54">
        <f t="shared" si="7"/>
        <v>26584.09</v>
      </c>
      <c r="Y25" s="89">
        <f t="shared" si="8"/>
        <v>0</v>
      </c>
      <c r="Z25" s="54">
        <f t="shared" si="9"/>
        <v>-0.01</v>
      </c>
    </row>
    <row r="26" spans="1:26" ht="30">
      <c r="A26" s="43">
        <f t="shared" si="2"/>
        <v>12</v>
      </c>
      <c r="B26" s="67" t="s">
        <v>42</v>
      </c>
      <c r="C26" s="33" t="s">
        <v>40</v>
      </c>
      <c r="D26" s="86">
        <v>7</v>
      </c>
      <c r="E26" s="45"/>
      <c r="F26" s="87">
        <v>10271.5946</v>
      </c>
      <c r="G26" s="48">
        <f t="shared" si="3"/>
        <v>71901.16</v>
      </c>
      <c r="H26" s="5">
        <v>6110.8504999999996</v>
      </c>
      <c r="I26" s="49">
        <f t="shared" si="0"/>
        <v>68</v>
      </c>
      <c r="J26" s="5">
        <v>5138.2060000000001</v>
      </c>
      <c r="M26" s="86">
        <v>20</v>
      </c>
      <c r="N26" s="54">
        <f t="shared" si="4"/>
        <v>205431.89</v>
      </c>
      <c r="O26" s="59"/>
      <c r="P26" s="88">
        <v>0</v>
      </c>
      <c r="Q26" s="53">
        <f t="shared" si="10"/>
        <v>0</v>
      </c>
      <c r="R26" s="59"/>
      <c r="S26" s="46">
        <v>0</v>
      </c>
      <c r="T26" s="54">
        <f t="shared" si="5"/>
        <v>0</v>
      </c>
      <c r="U26" s="59"/>
      <c r="V26" s="46">
        <f t="shared" si="6"/>
        <v>20</v>
      </c>
      <c r="W26" s="54">
        <f t="shared" si="7"/>
        <v>205431.89</v>
      </c>
      <c r="Y26" s="89">
        <f t="shared" si="8"/>
        <v>0</v>
      </c>
      <c r="Z26" s="54">
        <f t="shared" si="9"/>
        <v>0</v>
      </c>
    </row>
    <row r="27" spans="1:26">
      <c r="A27" s="43">
        <f t="shared" si="2"/>
        <v>13</v>
      </c>
      <c r="B27" s="67" t="s">
        <v>43</v>
      </c>
      <c r="C27" s="91" t="s">
        <v>40</v>
      </c>
      <c r="D27" s="86">
        <v>20</v>
      </c>
      <c r="E27" s="90"/>
      <c r="F27" s="87">
        <v>2952.8486790000002</v>
      </c>
      <c r="G27" s="48">
        <f t="shared" si="3"/>
        <v>59056.97</v>
      </c>
      <c r="H27" s="5">
        <v>2284.6153850000001</v>
      </c>
      <c r="I27" s="49">
        <f t="shared" si="0"/>
        <v>29</v>
      </c>
      <c r="J27" s="5">
        <v>1373.0260000000001</v>
      </c>
      <c r="M27" s="86">
        <v>150</v>
      </c>
      <c r="N27" s="54">
        <f t="shared" si="4"/>
        <v>442927.3</v>
      </c>
      <c r="O27" s="59"/>
      <c r="P27" s="88">
        <v>0</v>
      </c>
      <c r="Q27" s="53">
        <f t="shared" si="10"/>
        <v>0</v>
      </c>
      <c r="R27" s="59"/>
      <c r="S27" s="46">
        <v>0</v>
      </c>
      <c r="T27" s="54">
        <f t="shared" si="5"/>
        <v>0</v>
      </c>
      <c r="U27" s="59"/>
      <c r="V27" s="46">
        <f t="shared" si="6"/>
        <v>150</v>
      </c>
      <c r="W27" s="54">
        <f t="shared" si="7"/>
        <v>442927.3</v>
      </c>
      <c r="Y27" s="89">
        <f t="shared" si="8"/>
        <v>0</v>
      </c>
      <c r="Z27" s="54">
        <f t="shared" si="9"/>
        <v>0</v>
      </c>
    </row>
    <row r="28" spans="1:26" ht="30">
      <c r="A28" s="43">
        <f t="shared" si="2"/>
        <v>14</v>
      </c>
      <c r="B28" s="67" t="s">
        <v>44</v>
      </c>
      <c r="C28" s="91" t="s">
        <v>40</v>
      </c>
      <c r="D28" s="86">
        <v>20</v>
      </c>
      <c r="E28" s="90"/>
      <c r="F28" s="87">
        <v>2311.6906260000001</v>
      </c>
      <c r="G28" s="48">
        <f t="shared" si="3"/>
        <v>46233.81</v>
      </c>
      <c r="H28" s="5">
        <v>2021.55171</v>
      </c>
      <c r="I28" s="49">
        <f t="shared" si="0"/>
        <v>14</v>
      </c>
      <c r="M28" s="86">
        <v>200</v>
      </c>
      <c r="N28" s="54">
        <f t="shared" si="4"/>
        <v>462338.13</v>
      </c>
      <c r="O28" s="59"/>
      <c r="P28" s="88">
        <v>0</v>
      </c>
      <c r="Q28" s="53">
        <f t="shared" si="10"/>
        <v>0</v>
      </c>
      <c r="R28" s="59"/>
      <c r="S28" s="46">
        <v>0</v>
      </c>
      <c r="T28" s="54">
        <f t="shared" si="5"/>
        <v>0</v>
      </c>
      <c r="U28" s="59"/>
      <c r="V28" s="46">
        <f t="shared" si="6"/>
        <v>200</v>
      </c>
      <c r="W28" s="54">
        <f t="shared" si="7"/>
        <v>462338.13</v>
      </c>
      <c r="Y28" s="89">
        <f t="shared" si="8"/>
        <v>0</v>
      </c>
      <c r="Z28" s="54">
        <f t="shared" si="9"/>
        <v>0</v>
      </c>
    </row>
    <row r="29" spans="1:26" ht="30">
      <c r="A29" s="43">
        <f t="shared" si="2"/>
        <v>15</v>
      </c>
      <c r="B29" s="67" t="s">
        <v>64</v>
      </c>
      <c r="C29" s="92" t="s">
        <v>40</v>
      </c>
      <c r="D29" s="86">
        <v>6</v>
      </c>
      <c r="E29" s="93"/>
      <c r="F29" s="87">
        <v>11508.265778000001</v>
      </c>
      <c r="G29" s="48">
        <f t="shared" si="3"/>
        <v>69049.59</v>
      </c>
      <c r="H29" s="5">
        <v>8372.6380329999993</v>
      </c>
      <c r="I29" s="49">
        <f t="shared" si="0"/>
        <v>37</v>
      </c>
      <c r="J29" s="5">
        <v>4110.4290000000001</v>
      </c>
      <c r="M29" s="86">
        <v>45</v>
      </c>
      <c r="N29" s="54">
        <f t="shared" si="4"/>
        <v>517871.96</v>
      </c>
      <c r="O29" s="59"/>
      <c r="P29" s="88">
        <v>1</v>
      </c>
      <c r="Q29" s="53">
        <f t="shared" si="10"/>
        <v>11508.27</v>
      </c>
      <c r="R29" s="59"/>
      <c r="S29" s="46">
        <v>0</v>
      </c>
      <c r="T29" s="54">
        <f t="shared" si="5"/>
        <v>0</v>
      </c>
      <c r="U29" s="59"/>
      <c r="V29" s="46">
        <f t="shared" si="6"/>
        <v>44</v>
      </c>
      <c r="W29" s="54">
        <f t="shared" si="7"/>
        <v>506363.69</v>
      </c>
      <c r="Y29" s="89">
        <f t="shared" si="8"/>
        <v>0</v>
      </c>
      <c r="Z29" s="54">
        <f t="shared" si="9"/>
        <v>0</v>
      </c>
    </row>
    <row r="30" spans="1:26" ht="45">
      <c r="A30" s="43">
        <f t="shared" si="2"/>
        <v>16</v>
      </c>
      <c r="B30" s="67" t="s">
        <v>65</v>
      </c>
      <c r="C30" s="33" t="s">
        <v>40</v>
      </c>
      <c r="D30" s="86">
        <v>4</v>
      </c>
      <c r="E30" s="45"/>
      <c r="F30" s="87">
        <v>18933.997965999999</v>
      </c>
      <c r="G30" s="48">
        <f t="shared" si="3"/>
        <v>75735.990000000005</v>
      </c>
      <c r="H30" s="5">
        <v>13143.224</v>
      </c>
      <c r="I30" s="49">
        <f t="shared" si="0"/>
        <v>44</v>
      </c>
      <c r="M30" s="86">
        <v>20</v>
      </c>
      <c r="N30" s="54">
        <f t="shared" si="4"/>
        <v>378679.96</v>
      </c>
      <c r="O30" s="59"/>
      <c r="P30" s="88">
        <v>2</v>
      </c>
      <c r="Q30" s="53">
        <f t="shared" si="10"/>
        <v>37868</v>
      </c>
      <c r="R30" s="59"/>
      <c r="S30" s="46">
        <v>0</v>
      </c>
      <c r="T30" s="54">
        <f t="shared" si="5"/>
        <v>0</v>
      </c>
      <c r="U30" s="59"/>
      <c r="V30" s="46">
        <f t="shared" si="6"/>
        <v>18</v>
      </c>
      <c r="W30" s="54">
        <f t="shared" si="7"/>
        <v>340811.96</v>
      </c>
      <c r="Y30" s="89">
        <f t="shared" si="8"/>
        <v>0</v>
      </c>
      <c r="Z30" s="54">
        <f t="shared" si="9"/>
        <v>0</v>
      </c>
    </row>
    <row r="31" spans="1:26">
      <c r="A31" s="43">
        <f t="shared" si="2"/>
        <v>17</v>
      </c>
      <c r="B31" s="94" t="s">
        <v>45</v>
      </c>
      <c r="C31" s="33" t="s">
        <v>40</v>
      </c>
      <c r="D31" s="86">
        <v>70</v>
      </c>
      <c r="E31" s="45"/>
      <c r="F31" s="87">
        <v>765.60609899999997</v>
      </c>
      <c r="G31" s="48">
        <f t="shared" si="3"/>
        <v>53592.43</v>
      </c>
      <c r="H31" s="5">
        <v>1145.6888280000001</v>
      </c>
      <c r="I31" s="49">
        <f t="shared" si="0"/>
        <v>-33</v>
      </c>
      <c r="J31" s="5">
        <v>449.43</v>
      </c>
      <c r="M31" s="86">
        <v>364</v>
      </c>
      <c r="N31" s="54">
        <f t="shared" si="4"/>
        <v>278680.62</v>
      </c>
      <c r="O31" s="59"/>
      <c r="P31" s="88">
        <v>0</v>
      </c>
      <c r="Q31" s="53">
        <f t="shared" si="10"/>
        <v>0</v>
      </c>
      <c r="R31" s="59"/>
      <c r="S31" s="46">
        <v>0</v>
      </c>
      <c r="T31" s="54">
        <f t="shared" si="5"/>
        <v>0</v>
      </c>
      <c r="U31" s="59"/>
      <c r="V31" s="46">
        <f t="shared" si="6"/>
        <v>364</v>
      </c>
      <c r="W31" s="54">
        <f t="shared" si="7"/>
        <v>278680.62</v>
      </c>
      <c r="Y31" s="89">
        <f t="shared" si="8"/>
        <v>0</v>
      </c>
      <c r="Z31" s="54">
        <f t="shared" si="9"/>
        <v>0</v>
      </c>
    </row>
    <row r="32" spans="1:26" ht="45">
      <c r="A32" s="43">
        <f t="shared" si="2"/>
        <v>18</v>
      </c>
      <c r="B32" s="95" t="s">
        <v>66</v>
      </c>
      <c r="C32" s="33" t="s">
        <v>46</v>
      </c>
      <c r="D32" s="86">
        <v>13</v>
      </c>
      <c r="E32" s="45"/>
      <c r="F32" s="87">
        <v>7686.1893840000002</v>
      </c>
      <c r="G32" s="48">
        <f t="shared" si="3"/>
        <v>99920.46</v>
      </c>
      <c r="H32" s="5">
        <v>12037.348683</v>
      </c>
      <c r="I32" s="49">
        <f t="shared" si="0"/>
        <v>-36</v>
      </c>
      <c r="J32" s="5">
        <v>2881.8110000000001</v>
      </c>
      <c r="M32" s="86">
        <v>50</v>
      </c>
      <c r="N32" s="54">
        <f t="shared" si="4"/>
        <v>384309.47</v>
      </c>
      <c r="O32" s="59"/>
      <c r="P32" s="88">
        <v>0</v>
      </c>
      <c r="Q32" s="53">
        <f t="shared" si="10"/>
        <v>0</v>
      </c>
      <c r="R32" s="59"/>
      <c r="S32" s="46">
        <v>0</v>
      </c>
      <c r="T32" s="54">
        <f t="shared" si="5"/>
        <v>0</v>
      </c>
      <c r="U32" s="59"/>
      <c r="V32" s="46">
        <f t="shared" si="6"/>
        <v>50</v>
      </c>
      <c r="W32" s="54">
        <f t="shared" si="7"/>
        <v>384309.47</v>
      </c>
      <c r="Y32" s="89">
        <f t="shared" si="8"/>
        <v>0</v>
      </c>
      <c r="Z32" s="54">
        <f t="shared" si="9"/>
        <v>0</v>
      </c>
    </row>
    <row r="33" spans="1:26" ht="60">
      <c r="A33" s="43">
        <f t="shared" si="2"/>
        <v>19</v>
      </c>
      <c r="B33" s="95" t="s">
        <v>47</v>
      </c>
      <c r="C33" s="33" t="s">
        <v>40</v>
      </c>
      <c r="D33" s="86">
        <v>3</v>
      </c>
      <c r="E33" s="45"/>
      <c r="F33" s="87">
        <v>21775.49</v>
      </c>
      <c r="G33" s="48">
        <f t="shared" si="3"/>
        <v>65326.47</v>
      </c>
      <c r="H33" s="5">
        <v>34053.207499999997</v>
      </c>
      <c r="I33" s="49">
        <f t="shared" si="0"/>
        <v>-36</v>
      </c>
      <c r="M33" s="86">
        <v>8</v>
      </c>
      <c r="N33" s="54">
        <f t="shared" si="4"/>
        <v>174203.92</v>
      </c>
      <c r="O33" s="59"/>
      <c r="P33" s="88">
        <v>0</v>
      </c>
      <c r="Q33" s="53">
        <f t="shared" si="10"/>
        <v>0</v>
      </c>
      <c r="R33" s="59"/>
      <c r="S33" s="46">
        <v>0</v>
      </c>
      <c r="T33" s="54">
        <f t="shared" si="5"/>
        <v>0</v>
      </c>
      <c r="U33" s="59"/>
      <c r="V33" s="46">
        <f t="shared" si="6"/>
        <v>8</v>
      </c>
      <c r="W33" s="54">
        <f t="shared" si="7"/>
        <v>174203.92</v>
      </c>
      <c r="Y33" s="89">
        <f t="shared" si="8"/>
        <v>0</v>
      </c>
      <c r="Z33" s="54">
        <f t="shared" si="9"/>
        <v>0</v>
      </c>
    </row>
    <row r="34" spans="1:26" ht="45">
      <c r="A34" s="43">
        <f t="shared" si="2"/>
        <v>20</v>
      </c>
      <c r="B34" s="67" t="s">
        <v>48</v>
      </c>
      <c r="C34" s="33" t="s">
        <v>49</v>
      </c>
      <c r="D34" s="86">
        <v>3</v>
      </c>
      <c r="E34" s="45"/>
      <c r="F34" s="87">
        <v>10329.059230999999</v>
      </c>
      <c r="G34" s="48">
        <f t="shared" si="3"/>
        <v>30987.18</v>
      </c>
      <c r="H34" s="5">
        <v>18388.415000000001</v>
      </c>
      <c r="I34" s="49">
        <f t="shared" si="0"/>
        <v>-44</v>
      </c>
      <c r="J34" s="5">
        <v>344.7</v>
      </c>
      <c r="M34" s="86">
        <v>13</v>
      </c>
      <c r="N34" s="54">
        <f t="shared" si="4"/>
        <v>134277.76999999999</v>
      </c>
      <c r="O34" s="59"/>
      <c r="P34" s="88">
        <v>0</v>
      </c>
      <c r="Q34" s="53">
        <f t="shared" si="10"/>
        <v>0</v>
      </c>
      <c r="R34" s="59"/>
      <c r="S34" s="46">
        <v>0</v>
      </c>
      <c r="T34" s="54">
        <f t="shared" si="5"/>
        <v>0</v>
      </c>
      <c r="U34" s="59"/>
      <c r="V34" s="46">
        <f t="shared" si="6"/>
        <v>13</v>
      </c>
      <c r="W34" s="54">
        <f t="shared" si="7"/>
        <v>134277.76999999999</v>
      </c>
      <c r="Y34" s="89">
        <f t="shared" si="8"/>
        <v>0</v>
      </c>
      <c r="Z34" s="54">
        <f t="shared" si="9"/>
        <v>0</v>
      </c>
    </row>
    <row r="35" spans="1:26" ht="59.25" customHeight="1">
      <c r="A35" s="43">
        <f t="shared" si="2"/>
        <v>21</v>
      </c>
      <c r="B35" s="96" t="s">
        <v>50</v>
      </c>
      <c r="C35" s="33" t="s">
        <v>49</v>
      </c>
      <c r="D35" s="86">
        <v>20</v>
      </c>
      <c r="E35" s="45"/>
      <c r="F35" s="87">
        <v>8567.2853639999994</v>
      </c>
      <c r="G35" s="48">
        <f t="shared" si="3"/>
        <v>171345.71</v>
      </c>
      <c r="H35" s="5">
        <v>3138.422818</v>
      </c>
      <c r="I35" s="49">
        <f t="shared" si="0"/>
        <v>173</v>
      </c>
      <c r="J35" s="5">
        <v>3213.7139999999999</v>
      </c>
      <c r="M35" s="86">
        <v>70</v>
      </c>
      <c r="N35" s="97">
        <f t="shared" si="4"/>
        <v>599709.98</v>
      </c>
      <c r="O35" s="59"/>
      <c r="P35" s="88">
        <v>0</v>
      </c>
      <c r="Q35" s="53">
        <f t="shared" si="10"/>
        <v>0</v>
      </c>
      <c r="R35" s="59"/>
      <c r="S35" s="46">
        <v>0</v>
      </c>
      <c r="T35" s="54">
        <f t="shared" si="5"/>
        <v>0</v>
      </c>
      <c r="U35" s="59"/>
      <c r="V35" s="46">
        <f t="shared" si="6"/>
        <v>70</v>
      </c>
      <c r="W35" s="54">
        <f t="shared" si="7"/>
        <v>599709.98</v>
      </c>
      <c r="Y35" s="89">
        <f t="shared" si="8"/>
        <v>0</v>
      </c>
      <c r="Z35" s="54">
        <f t="shared" si="9"/>
        <v>0</v>
      </c>
    </row>
    <row r="36" spans="1:26">
      <c r="A36" s="43">
        <f t="shared" si="2"/>
        <v>22</v>
      </c>
      <c r="B36" s="172" t="s">
        <v>51</v>
      </c>
      <c r="C36" s="172"/>
      <c r="D36" s="172"/>
      <c r="E36" s="172"/>
      <c r="F36" s="172"/>
      <c r="G36" s="81">
        <f>SUM(G23:G35)</f>
        <v>873240.3</v>
      </c>
      <c r="I36" s="49" t="e">
        <f t="shared" si="0"/>
        <v>#DIV/0!</v>
      </c>
      <c r="M36" s="98"/>
      <c r="N36" s="81">
        <f>SUM(N23:N35)</f>
        <v>3974405.74</v>
      </c>
      <c r="O36" s="59"/>
      <c r="P36" s="99"/>
      <c r="Q36" s="100">
        <f>SUM(Q23:Q35)</f>
        <v>82194.87</v>
      </c>
      <c r="R36" s="59"/>
      <c r="S36" s="98"/>
      <c r="T36" s="101">
        <f>SUM(T23:T35)</f>
        <v>0</v>
      </c>
      <c r="U36" s="59"/>
      <c r="V36" s="102"/>
      <c r="W36" s="81">
        <f>SUM(W23:W35)</f>
        <v>3892210.9</v>
      </c>
      <c r="Y36" s="102"/>
      <c r="Z36" s="81">
        <f>SUM(Z23:Z35)</f>
        <v>-0.03</v>
      </c>
    </row>
    <row r="37" spans="1:26" s="32" customFormat="1">
      <c r="A37" s="43">
        <f t="shared" si="2"/>
        <v>23</v>
      </c>
      <c r="B37" s="171" t="s">
        <v>52</v>
      </c>
      <c r="C37" s="171"/>
      <c r="D37" s="171"/>
      <c r="E37" s="171"/>
      <c r="F37" s="171"/>
      <c r="G37" s="81"/>
      <c r="I37" s="49" t="e">
        <f t="shared" si="0"/>
        <v>#DIV/0!</v>
      </c>
      <c r="M37" s="38"/>
      <c r="N37" s="82"/>
      <c r="O37" s="39"/>
      <c r="P37" s="85"/>
      <c r="Q37" s="83"/>
      <c r="R37" s="39"/>
      <c r="S37" s="41"/>
      <c r="T37" s="82"/>
      <c r="U37" s="39"/>
      <c r="V37" s="41"/>
      <c r="W37" s="82"/>
      <c r="Y37" s="41"/>
      <c r="Z37" s="82"/>
    </row>
    <row r="38" spans="1:26" ht="45">
      <c r="A38" s="43">
        <f t="shared" si="2"/>
        <v>24</v>
      </c>
      <c r="B38" s="95" t="s">
        <v>53</v>
      </c>
      <c r="C38" s="33" t="s">
        <v>46</v>
      </c>
      <c r="D38" s="86">
        <v>6</v>
      </c>
      <c r="E38" s="45"/>
      <c r="F38" s="87">
        <v>5855.7415860000001</v>
      </c>
      <c r="G38" s="48">
        <f>ROUND(D38*F38,2)</f>
        <v>35134.449999999997</v>
      </c>
      <c r="H38" s="5">
        <v>8862.0846590000001</v>
      </c>
      <c r="I38" s="49">
        <f t="shared" si="0"/>
        <v>-34</v>
      </c>
      <c r="J38" s="5">
        <v>2180.7330000000002</v>
      </c>
      <c r="M38" s="86">
        <v>50</v>
      </c>
      <c r="N38" s="97">
        <f>ROUND(F38*M38,2)</f>
        <v>292787.08</v>
      </c>
      <c r="O38" s="59"/>
      <c r="P38" s="88">
        <v>0</v>
      </c>
      <c r="Q38" s="53">
        <f>ROUND(F38*P38,2)</f>
        <v>0</v>
      </c>
      <c r="R38" s="59"/>
      <c r="S38" s="46">
        <v>0</v>
      </c>
      <c r="T38" s="54">
        <f>ROUND(F38*S38,2)</f>
        <v>0</v>
      </c>
      <c r="U38" s="59"/>
      <c r="V38" s="46">
        <f>M38-P38-S38</f>
        <v>50</v>
      </c>
      <c r="W38" s="54">
        <f>ROUND(F38*V38,2)</f>
        <v>292787.08</v>
      </c>
      <c r="Y38" s="89">
        <f>M38-P38-S38-V38</f>
        <v>0</v>
      </c>
      <c r="Z38" s="54">
        <f>N38-Q38-T38-W38</f>
        <v>0</v>
      </c>
    </row>
    <row r="39" spans="1:26">
      <c r="A39" s="43">
        <f t="shared" si="2"/>
        <v>25</v>
      </c>
      <c r="B39" s="172" t="s">
        <v>54</v>
      </c>
      <c r="C39" s="172"/>
      <c r="D39" s="172"/>
      <c r="E39" s="172"/>
      <c r="F39" s="172"/>
      <c r="G39" s="81">
        <f>SUM(G38)</f>
        <v>35134.449999999997</v>
      </c>
      <c r="I39" s="49" t="e">
        <f t="shared" si="0"/>
        <v>#DIV/0!</v>
      </c>
      <c r="M39" s="102"/>
      <c r="N39" s="81">
        <f>SUM(N38)</f>
        <v>292787.08</v>
      </c>
      <c r="O39" s="59"/>
      <c r="P39" s="103"/>
      <c r="Q39" s="104">
        <f>SUM(Q38)</f>
        <v>0</v>
      </c>
      <c r="R39" s="59"/>
      <c r="S39" s="98"/>
      <c r="T39" s="101">
        <f>SUM(T38)</f>
        <v>0</v>
      </c>
      <c r="U39" s="59"/>
      <c r="V39" s="98"/>
      <c r="W39" s="101">
        <f>SUM(W38)</f>
        <v>292787.08</v>
      </c>
      <c r="Y39" s="98"/>
      <c r="Z39" s="101">
        <f>SUM(Z38)</f>
        <v>0</v>
      </c>
    </row>
    <row r="40" spans="1:26" s="32" customFormat="1">
      <c r="A40" s="43">
        <f t="shared" si="2"/>
        <v>26</v>
      </c>
      <c r="B40" s="167" t="s">
        <v>56</v>
      </c>
      <c r="C40" s="168"/>
      <c r="D40" s="168"/>
      <c r="E40" s="168"/>
      <c r="F40" s="169"/>
      <c r="G40" s="81"/>
      <c r="I40" s="49" t="e">
        <f t="shared" ref="I40:I43" si="11">F40*100/H40-100</f>
        <v>#DIV/0!</v>
      </c>
      <c r="M40" s="86"/>
      <c r="N40" s="82"/>
      <c r="O40" s="39"/>
      <c r="P40" s="85"/>
      <c r="Q40" s="83"/>
      <c r="R40" s="39"/>
      <c r="S40" s="41"/>
      <c r="T40" s="82"/>
      <c r="U40" s="39"/>
      <c r="V40" s="41"/>
      <c r="W40" s="82"/>
      <c r="Y40" s="41"/>
      <c r="Z40" s="82"/>
    </row>
    <row r="41" spans="1:26">
      <c r="A41" s="43">
        <f t="shared" si="2"/>
        <v>27</v>
      </c>
      <c r="B41" s="96" t="s">
        <v>57</v>
      </c>
      <c r="C41" s="105" t="s">
        <v>55</v>
      </c>
      <c r="D41" s="106">
        <v>7</v>
      </c>
      <c r="E41" s="108"/>
      <c r="F41" s="87">
        <v>2971.7319000000002</v>
      </c>
      <c r="G41" s="48">
        <f>D41*F41</f>
        <v>20802.12</v>
      </c>
      <c r="H41" s="5">
        <v>2717.5386880000001</v>
      </c>
      <c r="I41" s="49">
        <f t="shared" si="11"/>
        <v>9</v>
      </c>
      <c r="J41" s="5">
        <v>1595.52</v>
      </c>
      <c r="M41" s="86">
        <v>22</v>
      </c>
      <c r="N41" s="97">
        <f>ROUND(F41*M41,2)</f>
        <v>65378.1</v>
      </c>
      <c r="O41" s="59"/>
      <c r="P41" s="107">
        <v>0</v>
      </c>
      <c r="Q41" s="53">
        <f>ROUND(F41*P41,2)</f>
        <v>0</v>
      </c>
      <c r="R41" s="59"/>
      <c r="S41" s="46">
        <v>0</v>
      </c>
      <c r="T41" s="54">
        <f>ROUND(F41*S41,2)</f>
        <v>0</v>
      </c>
      <c r="U41" s="59"/>
      <c r="V41" s="46"/>
      <c r="W41" s="54">
        <f>ROUND(F41*V41,2)</f>
        <v>0</v>
      </c>
      <c r="Y41" s="89">
        <f>M41-P41-S41-V41</f>
        <v>22</v>
      </c>
      <c r="Z41" s="54">
        <f>N41-Q41-T41-W41</f>
        <v>65378.1</v>
      </c>
    </row>
    <row r="42" spans="1:26">
      <c r="A42" s="43">
        <f t="shared" si="2"/>
        <v>28</v>
      </c>
      <c r="B42" s="167" t="s">
        <v>58</v>
      </c>
      <c r="C42" s="168"/>
      <c r="D42" s="168"/>
      <c r="E42" s="168"/>
      <c r="F42" s="169"/>
      <c r="G42" s="81">
        <f>SUM(G41)</f>
        <v>20802.12</v>
      </c>
      <c r="I42" s="49" t="e">
        <f t="shared" si="11"/>
        <v>#DIV/0!</v>
      </c>
      <c r="M42" s="86"/>
      <c r="N42" s="81">
        <f>SUM(N41)</f>
        <v>65378.1</v>
      </c>
      <c r="O42" s="59"/>
      <c r="P42" s="103"/>
      <c r="Q42" s="104">
        <f>SUM(Q41)</f>
        <v>0</v>
      </c>
      <c r="R42" s="59"/>
      <c r="S42" s="98"/>
      <c r="T42" s="101">
        <f>SUM(T41)</f>
        <v>0</v>
      </c>
      <c r="U42" s="59"/>
      <c r="V42" s="98"/>
      <c r="W42" s="101">
        <f>SUM(W41)</f>
        <v>0</v>
      </c>
      <c r="Y42" s="98"/>
      <c r="Z42" s="101">
        <f>SUM(Z41)</f>
        <v>65378.1</v>
      </c>
    </row>
    <row r="43" spans="1:26">
      <c r="A43" s="43">
        <f t="shared" si="2"/>
        <v>29</v>
      </c>
      <c r="B43" s="109" t="s">
        <v>59</v>
      </c>
      <c r="C43" s="45"/>
      <c r="D43" s="45"/>
      <c r="E43" s="45"/>
      <c r="F43" s="80"/>
      <c r="G43" s="81">
        <f>G36+G39+G42</f>
        <v>929176.87</v>
      </c>
      <c r="I43" s="49" t="e">
        <f t="shared" si="11"/>
        <v>#DIV/0!</v>
      </c>
      <c r="M43" s="86"/>
      <c r="N43" s="81" t="e">
        <f>N36+N39+#REF!+#REF!+#REF!+#REF!+N42</f>
        <v>#REF!</v>
      </c>
      <c r="O43" s="59"/>
      <c r="P43" s="99"/>
      <c r="Q43" s="100" t="e">
        <f>Q36+Q39+#REF!+#REF!+#REF!+#REF!+Q42</f>
        <v>#REF!</v>
      </c>
      <c r="R43" s="59"/>
      <c r="S43" s="102"/>
      <c r="T43" s="81" t="e">
        <f>T36+T39+#REF!+#REF!+#REF!+#REF!+T42</f>
        <v>#REF!</v>
      </c>
      <c r="U43" s="59"/>
      <c r="V43" s="102"/>
      <c r="W43" s="81" t="e">
        <f>W36+W39+#REF!+#REF!+#REF!+#REF!+W42</f>
        <v>#REF!</v>
      </c>
      <c r="Y43" s="102"/>
      <c r="Z43" s="81" t="e">
        <f>Z36+Z39+#REF!+#REF!+#REF!+#REF!+Z42</f>
        <v>#REF!</v>
      </c>
    </row>
    <row r="44" spans="1:26">
      <c r="A44" s="43">
        <f t="shared" si="2"/>
        <v>30</v>
      </c>
      <c r="B44" s="69" t="s">
        <v>60</v>
      </c>
      <c r="C44" s="45"/>
      <c r="D44" s="45"/>
      <c r="E44" s="45"/>
      <c r="F44" s="87"/>
      <c r="G44" s="81">
        <f>G43+G20</f>
        <v>51897992.490000002</v>
      </c>
      <c r="I44" s="49" t="e">
        <f t="shared" ref="I44:I46" si="12">F44*100/H44-100</f>
        <v>#DIV/0!</v>
      </c>
      <c r="M44" s="102"/>
      <c r="N44" s="111" t="e">
        <f>#REF!+N43+N20</f>
        <v>#REF!</v>
      </c>
      <c r="O44" s="59"/>
      <c r="P44" s="102"/>
      <c r="Q44" s="111" t="e">
        <f>#REF!+Q43+Q20</f>
        <v>#REF!</v>
      </c>
      <c r="R44" s="59"/>
      <c r="S44" s="102"/>
      <c r="T44" s="111" t="e">
        <f>#REF!+T43+T20</f>
        <v>#REF!</v>
      </c>
      <c r="U44" s="59"/>
      <c r="V44" s="102"/>
      <c r="W44" s="111" t="e">
        <f>#REF!+W43+W20</f>
        <v>#REF!</v>
      </c>
      <c r="Y44" s="102"/>
      <c r="Z44" s="111" t="e">
        <f>#REF!+Z43+Z20</f>
        <v>#REF!</v>
      </c>
    </row>
    <row r="45" spans="1:26" s="12" customFormat="1" ht="15.75">
      <c r="A45" s="43">
        <f t="shared" si="2"/>
        <v>31</v>
      </c>
      <c r="B45" s="166" t="s">
        <v>61</v>
      </c>
      <c r="C45" s="166"/>
      <c r="D45" s="166"/>
      <c r="E45" s="166"/>
      <c r="F45" s="166"/>
      <c r="G45" s="112">
        <f>ROUND(1.5%*G44,2)</f>
        <v>778469.89</v>
      </c>
      <c r="H45" s="113"/>
      <c r="I45" s="49" t="e">
        <f t="shared" si="12"/>
        <v>#DIV/0!</v>
      </c>
      <c r="J45" s="13"/>
      <c r="M45" s="114"/>
      <c r="N45" s="115" t="e">
        <f>ROUND(1.5%*N44,2)</f>
        <v>#REF!</v>
      </c>
      <c r="O45" s="116"/>
      <c r="P45" s="117"/>
      <c r="Q45" s="115">
        <v>0</v>
      </c>
      <c r="R45" s="116"/>
      <c r="S45" s="117"/>
      <c r="T45" s="115" t="e">
        <f>ROUND(1.5%*T44,2)</f>
        <v>#REF!</v>
      </c>
      <c r="U45" s="116"/>
      <c r="V45" s="117"/>
      <c r="W45" s="115" t="e">
        <f>ROUND(1.5%*W44,2)</f>
        <v>#REF!</v>
      </c>
      <c r="Y45" s="117"/>
      <c r="Z45" s="117"/>
    </row>
    <row r="46" spans="1:26" s="12" customFormat="1" ht="16.5">
      <c r="A46" s="43">
        <f t="shared" si="2"/>
        <v>32</v>
      </c>
      <c r="B46" s="109" t="s">
        <v>67</v>
      </c>
      <c r="C46" s="118"/>
      <c r="D46" s="119"/>
      <c r="E46" s="119"/>
      <c r="F46" s="119"/>
      <c r="G46" s="146">
        <f>G44+G45</f>
        <v>52676462.380000003</v>
      </c>
      <c r="H46" s="113"/>
      <c r="I46" s="49" t="e">
        <f t="shared" si="12"/>
        <v>#DIV/0!</v>
      </c>
      <c r="J46" s="13"/>
      <c r="M46" s="120"/>
      <c r="N46" s="121" t="e">
        <f>N45+N44</f>
        <v>#REF!</v>
      </c>
      <c r="O46" s="116"/>
      <c r="P46" s="117"/>
      <c r="Q46" s="121" t="e">
        <f>Q45+Q44</f>
        <v>#REF!</v>
      </c>
      <c r="R46" s="116"/>
      <c r="S46" s="117"/>
      <c r="T46" s="121" t="e">
        <f>T45+T44</f>
        <v>#REF!</v>
      </c>
      <c r="U46" s="116"/>
      <c r="V46" s="117"/>
      <c r="W46" s="121" t="e">
        <f>W45+W44</f>
        <v>#REF!</v>
      </c>
      <c r="Y46" s="117"/>
      <c r="Z46" s="117"/>
    </row>
    <row r="47" spans="1:26" s="12" customFormat="1" ht="18.75">
      <c r="A47" s="43">
        <f t="shared" si="2"/>
        <v>33</v>
      </c>
      <c r="B47" s="145" t="s">
        <v>68</v>
      </c>
      <c r="C47" s="118"/>
      <c r="D47" s="119"/>
      <c r="E47" s="119"/>
      <c r="F47" s="122">
        <v>1.0457000000000001</v>
      </c>
      <c r="G47" s="157">
        <f>G46*F47</f>
        <v>55083776.710000001</v>
      </c>
      <c r="H47" s="113"/>
      <c r="I47" s="49" t="e">
        <f t="shared" ref="I47" si="13">F47*100/H47-100</f>
        <v>#DIV/0!</v>
      </c>
      <c r="J47" s="123"/>
      <c r="M47" s="124"/>
      <c r="N47" s="125" t="e">
        <f>N46*1.2*F47</f>
        <v>#REF!</v>
      </c>
      <c r="O47" s="126" t="e">
        <f>M47-N47</f>
        <v>#REF!</v>
      </c>
      <c r="P47" s="117">
        <v>1.0582</v>
      </c>
      <c r="Q47" s="125" t="e">
        <f>ROUND(Q46*1.2*P47,2)+0.01</f>
        <v>#REF!</v>
      </c>
      <c r="R47" s="127"/>
      <c r="S47" s="128"/>
      <c r="T47" s="125" t="e">
        <f>T46*1.2*F47</f>
        <v>#REF!</v>
      </c>
      <c r="U47" s="127"/>
      <c r="V47" s="129">
        <v>1.0743</v>
      </c>
      <c r="W47" s="130" t="e">
        <f>W46*1.22*V47</f>
        <v>#REF!</v>
      </c>
      <c r="Y47" s="117"/>
      <c r="Z47" s="117"/>
    </row>
    <row r="48" spans="1:26" s="149" customFormat="1" ht="15.75">
      <c r="A48" s="43">
        <f t="shared" si="2"/>
        <v>34</v>
      </c>
      <c r="B48" s="158" t="s">
        <v>70</v>
      </c>
      <c r="C48" s="159"/>
      <c r="D48" s="160"/>
      <c r="E48" s="160"/>
      <c r="F48" s="161">
        <v>0.93</v>
      </c>
      <c r="G48" s="162">
        <f>G47*F48</f>
        <v>51227912.340000004</v>
      </c>
      <c r="H48" s="147"/>
      <c r="I48" s="49"/>
      <c r="J48" s="148"/>
      <c r="M48" s="124"/>
      <c r="N48" s="150"/>
      <c r="O48" s="151"/>
      <c r="P48" s="152"/>
      <c r="Q48" s="150"/>
      <c r="R48" s="153"/>
      <c r="S48" s="154"/>
      <c r="T48" s="150"/>
      <c r="U48" s="153"/>
      <c r="V48" s="155"/>
      <c r="W48" s="156"/>
      <c r="Y48" s="152"/>
      <c r="Z48" s="152"/>
    </row>
    <row r="49" spans="1:26" s="149" customFormat="1" ht="15.75">
      <c r="A49" s="43">
        <f t="shared" si="2"/>
        <v>35</v>
      </c>
      <c r="B49" s="158" t="s">
        <v>71</v>
      </c>
      <c r="C49" s="158"/>
      <c r="D49" s="158"/>
      <c r="E49" s="158"/>
      <c r="F49" s="158"/>
      <c r="G49" s="163">
        <f>G48*1.22</f>
        <v>62498053.049999997</v>
      </c>
      <c r="H49" s="147"/>
      <c r="I49" s="49"/>
      <c r="J49" s="148"/>
      <c r="M49" s="124"/>
      <c r="N49" s="150"/>
      <c r="O49" s="151"/>
      <c r="P49" s="152"/>
      <c r="Q49" s="150"/>
      <c r="R49" s="153"/>
      <c r="S49" s="154"/>
      <c r="T49" s="150"/>
      <c r="U49" s="153"/>
      <c r="V49" s="155"/>
      <c r="W49" s="156"/>
      <c r="Y49" s="152"/>
      <c r="Z49" s="152"/>
    </row>
    <row r="50" spans="1:26" s="12" customFormat="1" ht="15.75">
      <c r="A50" s="43">
        <f t="shared" si="2"/>
        <v>36</v>
      </c>
      <c r="B50" s="158" t="s">
        <v>72</v>
      </c>
      <c r="C50" s="158"/>
      <c r="D50" s="158"/>
      <c r="E50" s="158"/>
      <c r="F50" s="158"/>
      <c r="G50" s="163">
        <f>G49/122*22</f>
        <v>11270140.710000001</v>
      </c>
      <c r="H50" s="13"/>
      <c r="J50" s="13"/>
      <c r="M50" s="114"/>
      <c r="N50" s="131" t="e">
        <f>N47/1.2</f>
        <v>#REF!</v>
      </c>
      <c r="O50" s="116"/>
      <c r="P50" s="117"/>
      <c r="Q50" s="132">
        <v>66414690.649999999</v>
      </c>
      <c r="R50" s="116"/>
      <c r="S50" s="117"/>
      <c r="T50" s="132" t="e">
        <f>T47/1.22</f>
        <v>#REF!</v>
      </c>
      <c r="U50" s="116"/>
      <c r="V50" s="133"/>
      <c r="W50" s="134" t="e">
        <f>W47/1.22</f>
        <v>#REF!</v>
      </c>
      <c r="Y50" s="117"/>
      <c r="Z50" s="117"/>
    </row>
    <row r="51" spans="1:26" s="12" customFormat="1" ht="24" customHeight="1">
      <c r="A51" s="165" t="s">
        <v>69</v>
      </c>
      <c r="B51" s="165"/>
      <c r="C51" s="165"/>
      <c r="D51" s="165"/>
      <c r="E51" s="165"/>
      <c r="F51" s="165"/>
      <c r="G51" s="165"/>
      <c r="H51" s="13"/>
      <c r="J51" s="13"/>
      <c r="S51" s="137"/>
      <c r="T51" s="135"/>
      <c r="U51" s="136"/>
      <c r="V51" s="136"/>
      <c r="W51" s="136"/>
      <c r="X51" s="136"/>
      <c r="Y51" s="136"/>
      <c r="Z51" s="138"/>
    </row>
    <row r="52" spans="1:26" s="12" customFormat="1" ht="15.75" hidden="1">
      <c r="A52" s="8"/>
      <c r="B52" s="8"/>
      <c r="C52" s="8"/>
      <c r="D52" s="8"/>
      <c r="E52" s="8"/>
      <c r="F52" s="8"/>
      <c r="G52" s="139"/>
      <c r="H52" s="13"/>
      <c r="J52" s="13"/>
    </row>
    <row r="53" spans="1:26" s="12" customFormat="1" ht="15.75" hidden="1">
      <c r="A53" s="8"/>
      <c r="B53" s="8"/>
      <c r="C53" s="8"/>
      <c r="D53" s="8"/>
      <c r="E53" s="8"/>
      <c r="F53" s="8"/>
      <c r="G53" s="139"/>
      <c r="H53" s="13"/>
      <c r="J53" s="13"/>
    </row>
    <row r="54" spans="1:26" s="12" customFormat="1" ht="15.75" hidden="1">
      <c r="A54" s="8"/>
      <c r="C54" s="140"/>
      <c r="D54" s="140"/>
      <c r="E54" s="140"/>
      <c r="F54" s="140"/>
      <c r="G54" s="139"/>
      <c r="H54" s="13"/>
      <c r="J54" s="13"/>
    </row>
    <row r="55" spans="1:26" s="12" customFormat="1" ht="15.75">
      <c r="A55" s="8"/>
      <c r="C55" s="140"/>
      <c r="D55" s="140"/>
      <c r="E55" s="140"/>
      <c r="F55" s="140"/>
      <c r="G55" s="139"/>
      <c r="H55" s="13"/>
      <c r="J55" s="13"/>
    </row>
    <row r="56" spans="1:26" s="12" customFormat="1" ht="15.75">
      <c r="A56" s="8"/>
      <c r="C56" s="140"/>
      <c r="D56" s="140"/>
      <c r="E56" s="140"/>
      <c r="F56" s="140"/>
      <c r="G56" s="139"/>
      <c r="H56" s="13"/>
      <c r="J56" s="13"/>
    </row>
    <row r="57" spans="1:26" s="12" customFormat="1" ht="15.75">
      <c r="A57" s="8"/>
      <c r="C57" s="140"/>
      <c r="D57" s="140"/>
      <c r="E57" s="140"/>
      <c r="F57" s="140"/>
      <c r="G57" s="139"/>
      <c r="H57" s="13"/>
      <c r="J57" s="13"/>
    </row>
    <row r="58" spans="1:26" s="12" customFormat="1" ht="15.75">
      <c r="A58" s="164"/>
      <c r="B58" s="164"/>
      <c r="C58" s="140"/>
      <c r="D58" s="140"/>
      <c r="E58" s="140"/>
      <c r="F58" s="140"/>
      <c r="G58" s="139"/>
      <c r="H58" s="13"/>
      <c r="J58" s="13"/>
    </row>
    <row r="59" spans="1:26" s="12" customFormat="1" ht="15.75">
      <c r="A59" s="139"/>
      <c r="B59" s="139"/>
      <c r="C59" s="140"/>
      <c r="D59" s="140"/>
      <c r="E59" s="140"/>
      <c r="F59" s="140"/>
      <c r="G59" s="139"/>
      <c r="H59" s="13"/>
      <c r="J59" s="13"/>
    </row>
    <row r="60" spans="1:26" s="12" customFormat="1" ht="15.75">
      <c r="A60" s="8"/>
      <c r="C60" s="140"/>
      <c r="D60" s="140"/>
      <c r="E60" s="140"/>
      <c r="F60" s="140"/>
      <c r="G60" s="139"/>
      <c r="H60" s="13"/>
      <c r="J60" s="13"/>
    </row>
    <row r="61" spans="1:26" s="12" customFormat="1" ht="15.75">
      <c r="A61" s="8"/>
      <c r="C61" s="140"/>
      <c r="D61" s="140"/>
      <c r="E61" s="140"/>
      <c r="F61" s="140"/>
      <c r="G61" s="139"/>
      <c r="H61" s="13"/>
      <c r="J61" s="13"/>
    </row>
    <row r="62" spans="1:26" s="12" customFormat="1" ht="15.75">
      <c r="A62" s="8"/>
      <c r="C62" s="140"/>
      <c r="D62" s="140"/>
      <c r="E62" s="140"/>
      <c r="F62" s="140"/>
      <c r="G62" s="139"/>
      <c r="H62" s="13"/>
      <c r="J62" s="13"/>
    </row>
    <row r="63" spans="1:26" s="12" customFormat="1" ht="15.75">
      <c r="A63" s="8"/>
      <c r="C63" s="140"/>
      <c r="D63" s="140"/>
      <c r="E63" s="140"/>
      <c r="F63" s="140"/>
      <c r="G63" s="139"/>
      <c r="H63" s="13"/>
      <c r="J63" s="13"/>
    </row>
    <row r="64" spans="1:26" s="12" customFormat="1" ht="15.75" hidden="1">
      <c r="A64" s="8"/>
      <c r="C64" s="140"/>
      <c r="D64" s="140"/>
      <c r="E64" s="140"/>
      <c r="F64" s="140"/>
      <c r="G64" s="139"/>
      <c r="H64" s="13"/>
      <c r="J64" s="13"/>
    </row>
    <row r="65" spans="1:10" s="12" customFormat="1" ht="15.75" hidden="1">
      <c r="A65" s="8"/>
      <c r="C65" s="140"/>
      <c r="D65" s="140"/>
      <c r="E65" s="140"/>
      <c r="F65" s="140"/>
      <c r="G65" s="139"/>
      <c r="H65" s="13"/>
      <c r="J65" s="13"/>
    </row>
    <row r="66" spans="1:10" s="12" customFormat="1" ht="15.75" hidden="1">
      <c r="A66" s="8"/>
      <c r="C66" s="140"/>
      <c r="D66" s="140"/>
      <c r="E66" s="140"/>
      <c r="F66" s="140"/>
      <c r="G66" s="139"/>
      <c r="H66" s="13"/>
      <c r="J66" s="13"/>
    </row>
    <row r="67" spans="1:10" s="12" customFormat="1" ht="15.75">
      <c r="A67" s="8"/>
      <c r="C67" s="140"/>
      <c r="D67" s="140"/>
      <c r="E67" s="140"/>
      <c r="F67" s="140"/>
      <c r="G67" s="139"/>
      <c r="H67" s="13"/>
      <c r="J67" s="13"/>
    </row>
    <row r="68" spans="1:10" s="12" customFormat="1" ht="15.75">
      <c r="A68" s="8"/>
      <c r="C68" s="140"/>
      <c r="D68" s="140"/>
      <c r="E68" s="140"/>
      <c r="F68" s="140"/>
      <c r="G68" s="139"/>
      <c r="H68" s="13"/>
      <c r="J68" s="13"/>
    </row>
    <row r="69" spans="1:10" s="12" customFormat="1" ht="15.75">
      <c r="A69" s="8"/>
      <c r="C69" s="140"/>
      <c r="D69" s="140"/>
      <c r="E69" s="140"/>
      <c r="F69" s="140"/>
      <c r="G69" s="139"/>
      <c r="H69" s="13"/>
      <c r="J69" s="13"/>
    </row>
    <row r="70" spans="1:10" s="12" customFormat="1" ht="15.75">
      <c r="G70" s="141"/>
      <c r="H70" s="13"/>
      <c r="J70" s="13"/>
    </row>
    <row r="71" spans="1:10" s="12" customFormat="1" ht="15.75">
      <c r="A71" s="8"/>
      <c r="G71" s="141"/>
      <c r="H71" s="13"/>
      <c r="J71" s="13"/>
    </row>
    <row r="72" spans="1:10" s="12" customFormat="1" ht="15.75">
      <c r="A72" s="8"/>
      <c r="G72" s="141"/>
      <c r="H72" s="13"/>
      <c r="J72" s="13"/>
    </row>
  </sheetData>
  <mergeCells count="27">
    <mergeCell ref="A3:B3"/>
    <mergeCell ref="A7:G7"/>
    <mergeCell ref="A8:G8"/>
    <mergeCell ref="F6:G6"/>
    <mergeCell ref="A9:G9"/>
    <mergeCell ref="A10:A11"/>
    <mergeCell ref="B10:B11"/>
    <mergeCell ref="C10:C11"/>
    <mergeCell ref="D10:D11"/>
    <mergeCell ref="E10:E11"/>
    <mergeCell ref="F10:F11"/>
    <mergeCell ref="G10:G11"/>
    <mergeCell ref="M10:N11"/>
    <mergeCell ref="P10:Q11"/>
    <mergeCell ref="S10:T11"/>
    <mergeCell ref="V10:W11"/>
    <mergeCell ref="Y10:Z11"/>
    <mergeCell ref="B45:F45"/>
    <mergeCell ref="B40:F40"/>
    <mergeCell ref="B42:F42"/>
    <mergeCell ref="A13:G13"/>
    <mergeCell ref="B22:E22"/>
    <mergeCell ref="B36:F36"/>
    <mergeCell ref="B37:F37"/>
    <mergeCell ref="B39:F39"/>
    <mergeCell ref="A58:B58"/>
    <mergeCell ref="A51:G51"/>
  </mergeCells>
  <pageMargins left="0.59027799999999997" right="0.157639" top="0.43333300000000002" bottom="0.43333300000000002" header="0.315278" footer="0.315278"/>
  <pageSetup paperSize="9" scale="93" fitToWidth="0" fitToHeight="0" orientation="landscape" useFirstPageNumber="1" r:id="rId1"/>
  <rowBreaks count="2" manualBreakCount="2">
    <brk id="29" max="6" man="1"/>
    <brk id="51" max="6" man="1"/>
  </rowBreaks>
  <drawing r:id="rId2"/>
  <extLst>
    <ext uri="smNativeData">
      <pm:sheetPrefs xmlns:pm="smNativeData" day="178298859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customHeight="1"/>
  <sheetData/>
  <pageMargins left="0.7" right="0.7" top="0.75" bottom="0.75" header="0.3" footer="0.3"/>
  <pageSetup paperSize="9" fitToWidth="0"/>
  <extLst>
    <ext uri="smNativeData">
      <pm:sheetPrefs xmlns:pm="smNativeData" day="178298859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Расчет</vt:lpstr>
      <vt:lpstr>Лист1</vt:lpstr>
      <vt:lpstr>Расчет!Print_Titles</vt:lpstr>
      <vt:lpstr>Расчет!Область_печати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Юлия В. Швачко</dc:creator>
  <cp:keywords/>
  <dc:description/>
  <cp:lastModifiedBy>Гринько Сергей Юрьевич</cp:lastModifiedBy>
  <cp:revision>0</cp:revision>
  <cp:lastPrinted>2026-10-10T05:34:20Z</cp:lastPrinted>
  <dcterms:created xsi:type="dcterms:W3CDTF">2008-04-21T06:09:00Z</dcterms:created>
  <dcterms:modified xsi:type="dcterms:W3CDTF">2026-10-10T05:35:36Z</dcterms:modified>
</cp:coreProperties>
</file>