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42C66D9E-87E2-4ACD-8AF6-9A8E48DD82E1}" xr6:coauthVersionLast="36" xr6:coauthVersionMax="47" xr10:uidLastSave="{00000000-0000-0000-0000-000000000000}"/>
  <bookViews>
    <workbookView xWindow="0" yWindow="0" windowWidth="21525" windowHeight="7545" xr2:uid="{00000000-000D-0000-FFFF-FFFF00000000}"/>
  </bookViews>
  <sheets>
    <sheet name="Обоснование" sheetId="1" r:id="rId1"/>
    <sheet name="ЕИС" sheetId="2" r:id="rId2"/>
    <sheet name="реестр" sheetId="4" r:id="rId3"/>
  </sheets>
  <externalReferences>
    <externalReference r:id="rId4"/>
  </externalReferences>
  <definedNames>
    <definedName name="dict34622611493b4f0bae79b89732558101">[1]!Код_по_ОКПД2[Код по ОКПД2]</definedName>
  </definedNames>
  <calcPr calcId="191029"/>
</workbook>
</file>

<file path=xl/calcChain.xml><?xml version="1.0" encoding="utf-8"?>
<calcChain xmlns="http://schemas.openxmlformats.org/spreadsheetml/2006/main">
  <c r="B35" i="4" l="1"/>
  <c r="F35" i="2"/>
  <c r="C35" i="2"/>
  <c r="P39" i="1"/>
  <c r="M39" i="1"/>
  <c r="L39" i="1"/>
  <c r="K3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29" i="1"/>
  <c r="M30" i="1"/>
  <c r="M31" i="1"/>
  <c r="M32" i="1"/>
  <c r="M33" i="1"/>
  <c r="M34" i="1"/>
  <c r="M35" i="1"/>
  <c r="M36" i="1"/>
  <c r="M37" i="1"/>
  <c r="M38" i="1"/>
  <c r="M40" i="1"/>
  <c r="M11" i="1"/>
  <c r="M10" i="1"/>
  <c r="M9" i="1"/>
  <c r="M8" i="1"/>
  <c r="M7" i="1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3" i="4"/>
  <c r="B2" i="4"/>
  <c r="F34" i="2"/>
  <c r="C34" i="2"/>
  <c r="F33" i="2"/>
  <c r="C33" i="2"/>
  <c r="F32" i="2"/>
  <c r="C32" i="2"/>
  <c r="F31" i="2"/>
  <c r="C31" i="2"/>
  <c r="F30" i="2"/>
  <c r="C30" i="2"/>
  <c r="F29" i="2"/>
  <c r="C29" i="2"/>
  <c r="F28" i="2"/>
  <c r="C28" i="2"/>
  <c r="F27" i="2"/>
  <c r="C27" i="2"/>
  <c r="F26" i="2"/>
  <c r="C26" i="2"/>
  <c r="F25" i="2"/>
  <c r="C25" i="2"/>
  <c r="F24" i="2"/>
  <c r="C24" i="2"/>
  <c r="F23" i="2"/>
  <c r="C23" i="2"/>
  <c r="F22" i="2"/>
  <c r="C22" i="2"/>
  <c r="F21" i="2"/>
  <c r="C21" i="2"/>
  <c r="F20" i="2"/>
  <c r="C20" i="2"/>
  <c r="F19" i="2"/>
  <c r="C19" i="2"/>
  <c r="F18" i="2"/>
  <c r="C18" i="2"/>
  <c r="F17" i="2"/>
  <c r="C17" i="2"/>
  <c r="F16" i="2"/>
  <c r="C16" i="2"/>
  <c r="F15" i="2"/>
  <c r="C15" i="2"/>
  <c r="F14" i="2"/>
  <c r="C14" i="2"/>
  <c r="F13" i="2"/>
  <c r="C13" i="2"/>
  <c r="F12" i="2"/>
  <c r="C12" i="2"/>
  <c r="F11" i="2"/>
  <c r="C11" i="2"/>
  <c r="F10" i="2"/>
  <c r="C10" i="2"/>
  <c r="F8" i="2"/>
  <c r="F9" i="2"/>
  <c r="C9" i="2"/>
  <c r="C8" i="2"/>
  <c r="F7" i="2"/>
  <c r="C7" i="2"/>
  <c r="F2" i="2"/>
  <c r="C2" i="2"/>
  <c r="F3" i="2"/>
  <c r="C3" i="2"/>
  <c r="F6" i="2"/>
  <c r="C6" i="2"/>
  <c r="F5" i="2"/>
  <c r="F4" i="2"/>
  <c r="C5" i="2"/>
  <c r="C4" i="2"/>
  <c r="P21" i="1" l="1"/>
  <c r="L21" i="1"/>
  <c r="K21" i="1"/>
  <c r="P20" i="1"/>
  <c r="L20" i="1"/>
  <c r="K20" i="1"/>
  <c r="P19" i="1"/>
  <c r="L19" i="1"/>
  <c r="K19" i="1"/>
  <c r="P18" i="1"/>
  <c r="L18" i="1"/>
  <c r="K18" i="1"/>
  <c r="P17" i="1"/>
  <c r="L17" i="1"/>
  <c r="K17" i="1"/>
  <c r="P16" i="1"/>
  <c r="L16" i="1"/>
  <c r="K16" i="1"/>
  <c r="P15" i="1"/>
  <c r="L15" i="1"/>
  <c r="K15" i="1"/>
  <c r="P14" i="1"/>
  <c r="L14" i="1"/>
  <c r="K14" i="1"/>
  <c r="P13" i="1"/>
  <c r="L13" i="1"/>
  <c r="K13" i="1"/>
  <c r="P12" i="1"/>
  <c r="L12" i="1"/>
  <c r="K12" i="1"/>
  <c r="P31" i="1"/>
  <c r="L31" i="1"/>
  <c r="K31" i="1"/>
  <c r="P30" i="1"/>
  <c r="L30" i="1"/>
  <c r="K30" i="1"/>
  <c r="P29" i="1"/>
  <c r="L29" i="1"/>
  <c r="K29" i="1"/>
  <c r="P28" i="1"/>
  <c r="L28" i="1"/>
  <c r="K28" i="1"/>
  <c r="P27" i="1"/>
  <c r="L27" i="1"/>
  <c r="K27" i="1"/>
  <c r="P26" i="1"/>
  <c r="L26" i="1"/>
  <c r="K26" i="1"/>
  <c r="P25" i="1"/>
  <c r="L25" i="1"/>
  <c r="K25" i="1"/>
  <c r="P24" i="1"/>
  <c r="L24" i="1"/>
  <c r="K24" i="1"/>
  <c r="P23" i="1"/>
  <c r="L23" i="1"/>
  <c r="K23" i="1"/>
  <c r="P22" i="1"/>
  <c r="L22" i="1"/>
  <c r="K22" i="1"/>
  <c r="L40" i="1"/>
  <c r="L38" i="1"/>
  <c r="L37" i="1"/>
  <c r="L36" i="1"/>
  <c r="L35" i="1"/>
  <c r="L34" i="1"/>
  <c r="L33" i="1"/>
  <c r="L32" i="1"/>
  <c r="L11" i="1"/>
  <c r="L10" i="1"/>
  <c r="L9" i="1"/>
  <c r="L8" i="1"/>
  <c r="L7" i="1"/>
  <c r="K8" i="1" l="1"/>
  <c r="K9" i="1"/>
  <c r="K10" i="1"/>
  <c r="K11" i="1"/>
  <c r="K32" i="1"/>
  <c r="K33" i="1"/>
  <c r="K34" i="1"/>
  <c r="K35" i="1"/>
  <c r="K36" i="1"/>
  <c r="K37" i="1"/>
  <c r="K38" i="1"/>
  <c r="K40" i="1"/>
  <c r="K7" i="1"/>
  <c r="P11" i="1" l="1"/>
  <c r="P40" i="1"/>
  <c r="P38" i="1"/>
  <c r="P37" i="1"/>
  <c r="P36" i="1"/>
  <c r="P35" i="1"/>
  <c r="P34" i="1"/>
  <c r="P33" i="1"/>
  <c r="P32" i="1"/>
  <c r="P10" i="1"/>
  <c r="P9" i="1"/>
  <c r="P8" i="1"/>
  <c r="P7" i="1"/>
  <c r="P41" i="1" l="1"/>
  <c r="K49" i="1" s="1"/>
</calcChain>
</file>

<file path=xl/sharedStrings.xml><?xml version="1.0" encoding="utf-8"?>
<sst xmlns="http://schemas.openxmlformats.org/spreadsheetml/2006/main" count="392" uniqueCount="260">
  <si>
    <t xml:space="preserve">МНН </t>
  </si>
  <si>
    <t>Основные характеристики объекта закупки</t>
  </si>
  <si>
    <t>Ед. изм.</t>
  </si>
  <si>
    <t>Однородность совокупности значений цен, используемых в расчете НМЦД</t>
  </si>
  <si>
    <t xml:space="preserve">Коэффициент вариации цен V (%) </t>
  </si>
  <si>
    <t>Средняя арифметическая цена за единицу товара, руб.  &lt;ц&gt;</t>
  </si>
  <si>
    <t>Расчет НМЦД по формуле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</si>
  <si>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 xml:space="preserve">Цена за ед.изм.  (руб.)*  </t>
  </si>
  <si>
    <t>Итого (руб.)</t>
  </si>
  <si>
    <t>ИТОГО</t>
  </si>
  <si>
    <t>*</t>
  </si>
  <si>
    <t xml:space="preserve">  Начальная (максимальная) цена договора определяется методом сопоставимых рыночных цен (анализа рынка) по формуле в соответствии с пунктом 14 Приложения № 2 к Типовому положению о закупках товаров, работ, услуг отдельными видами юридических лиц, утвержденного приказом Департамента от 27.12.2019 № 198-ОД, и соответствующим пунктом положения о закупке товаров, работ, услуг заказчиков.
   В целях определения однородности совокупности значений выявленных цен, используемых в расчете начальной (максимальной) цены договора, заказчиком определяется коэффициент вариации в соответствии с пунктом 13 Приложения № 2 к Типовому положению о закупках товаров, работ, услуг отдельными видами юридических лиц, утвержденному приказом Департамента от 27.12.2019 № 198-ОД, и соответствующим пунктом положения о закупке товаров, работ, услуг заказчиков.</t>
  </si>
  <si>
    <t>Коэффициент вариации не превышает 33%, что свидетельствует об однородности совокупности значений</t>
  </si>
  <si>
    <t xml:space="preserve">Дата подготовки обоснования НМЦД: </t>
  </si>
  <si>
    <t>№</t>
  </si>
  <si>
    <t>Цена за ед. изм.</t>
  </si>
  <si>
    <t>Источник информации</t>
  </si>
  <si>
    <t>Кол-во</t>
  </si>
  <si>
    <t xml:space="preserve">НМЦД, определяемая смешанным методом </t>
  </si>
  <si>
    <t xml:space="preserve">  «Обоснование начальной (максимальной) цены договора, начальных цен единиц товара, работы, услуги» </t>
  </si>
  <si>
    <t>Расчет начальной (максимальной) цены договора произведен в соответствии с пунктом 1 Приложения № 2 к Типовому положению о закупках товаров, работ, услуг отдельными видами юридических лиц, утвержденного приказом Департамента от 27.12.2019 № 198-ОД, и соответствующим пунктом положения о закупке товаров, работ, услуг заказчиков.</t>
  </si>
  <si>
    <t>Исполнитель:___________________________</t>
  </si>
  <si>
    <t>В ходе проведенного анализа рынка  в расчет за единицу лекарственного препарата взята средняя цена, рассчитанная  на основании реестра контрактов и с учетом предложения поставщиков с учетом с условий планируемой закупки, в том числе логистики при работе с Заказчиками, а также с учетом сопоставимых с условиями планируемой закупки коммерческих и финансовых условий поставок товаров.</t>
  </si>
  <si>
    <t xml:space="preserve">Источник информации №  4     Реестр
</t>
  </si>
  <si>
    <t xml:space="preserve">Утверждаю:                                                                                                                                                             Начальник контрактной службы _____________Т.Н. Царегородцева                                                                                 </t>
  </si>
  <si>
    <t>Источник информации № 1 
КП</t>
  </si>
  <si>
    <t>Источник информации № 2 
КП</t>
  </si>
  <si>
    <t xml:space="preserve">Источник информации №  3     КП
</t>
  </si>
  <si>
    <t>1. При обосновании начальной (максимальной) цены договора, цены договора, заключаемого с единственным поставщиком (подрядчиком, исполнителем), цены единицы товара, работы, услуги  (далее – начальная (максимальная) цена договора) заказчиком использовалась информация о рыночных ценах: идентичного товара, работы, услуги, планируемого к закупке / однородного товара, работы, услуги, планируемого к закупке.  
2.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коммерческих предложений; 2) размещен запрос о предоставлении ценовой информации в Региональной информационной системе;  3) осуществлен поиск ценовой информации в ЕИС в реестре контрактов.</t>
  </si>
  <si>
    <r>
      <t xml:space="preserve">Цены поставщиков (исполнителей, подрядчиков) </t>
    </r>
    <r>
      <rPr>
        <b/>
        <sz val="8"/>
        <rFont val="Liberation Serif"/>
        <family val="1"/>
        <charset val="204"/>
      </rPr>
      <t>за единицу товара (работы, услуги)</t>
    </r>
    <r>
      <rPr>
        <sz val="8"/>
        <rFont val="Liberation Serif"/>
        <family val="1"/>
        <charset val="204"/>
      </rPr>
      <t>, рублей</t>
    </r>
  </si>
  <si>
    <t>уп</t>
  </si>
  <si>
    <t>https://minzdrav.midural.ru/article/show/id/158</t>
  </si>
  <si>
    <t xml:space="preserve">Решение о начальной (максимальной) цене договора - Расчет НМЦД сделан по среднему ценовому предложению 
</t>
  </si>
  <si>
    <t xml:space="preserve">Расчет НМЦД сделан по среднему значению цены за единицу лекарственного препарата, рассчитаному с использованием  смешанного метода .           
</t>
  </si>
  <si>
    <t>Источник информации №  5     Реестр</t>
  </si>
  <si>
    <t>Реестровый номер</t>
  </si>
  <si>
    <t>А.А. Солодова</t>
  </si>
  <si>
    <t>Метронидазол</t>
  </si>
  <si>
    <t>Калия и магния аспарагинат</t>
  </si>
  <si>
    <t>Ацикловир</t>
  </si>
  <si>
    <t>Лидокаин</t>
  </si>
  <si>
    <t>Винпоцетин</t>
  </si>
  <si>
    <t>Галоперидол</t>
  </si>
  <si>
    <t>Панкреатин</t>
  </si>
  <si>
    <t>Адеметионин</t>
  </si>
  <si>
    <t>Урсодезоксихолевая кислота</t>
  </si>
  <si>
    <t>Лоперамид</t>
  </si>
  <si>
    <t>Дифенгидрамин</t>
  </si>
  <si>
    <t>Смектит диоктаэдрический</t>
  </si>
  <si>
    <t>Этамзилат</t>
  </si>
  <si>
    <t>Фенилэфрин</t>
  </si>
  <si>
    <t>Калия хлорид</t>
  </si>
  <si>
    <t>Фамотидин</t>
  </si>
  <si>
    <t>Кетоаналоги аминокислот</t>
  </si>
  <si>
    <t>Пирацетам</t>
  </si>
  <si>
    <t>Маннитол</t>
  </si>
  <si>
    <t>Натрия хлорид</t>
  </si>
  <si>
    <t>Платифиллин</t>
  </si>
  <si>
    <t>Прокаин</t>
  </si>
  <si>
    <t>Тизанидин</t>
  </si>
  <si>
    <t>Железа (III) гидроксид полимальтозат</t>
  </si>
  <si>
    <t>Цианокобаламин</t>
  </si>
  <si>
    <t>Аминофиллин</t>
  </si>
  <si>
    <t>Диоксометилтетрагидропиримидин + Сульфадиметоксин + Тримекаин + Хлорамфеникол</t>
  </si>
  <si>
    <t>Аминокапроновая кислота</t>
  </si>
  <si>
    <t>Дротаверин</t>
  </si>
  <si>
    <t>Ондансетрон</t>
  </si>
  <si>
    <t>МНН</t>
  </si>
  <si>
    <t>цена</t>
  </si>
  <si>
    <t>раствор для инфузий,  5 мг/мл, 100 мл - бутылка (44)  - ящик картонный (для стационаров)</t>
  </si>
  <si>
    <t>концентрат для приготовления раствора для инфузий,  10 мл - ампулы (10)  - пачки картонные</t>
  </si>
  <si>
    <t>таблетки,  200 мг, 20 шт. - упаковки ячейковые контурные (1) - пачки картонные</t>
  </si>
  <si>
    <t>таблетки,  400 мг, 10 шт. - упаковки ячейковые контурные (2) - пачки картонные</t>
  </si>
  <si>
    <t>раствор для инъекций, ~, 20 мг/мл, 2 мл - ампула (10) - пачка картонная</t>
  </si>
  <si>
    <t>концентрат для приготовления раствора для инфузий,  5 мг/мл, 2 мл - ампулы (10) - коробка картонная</t>
  </si>
  <si>
    <t>капли для приема внутрь, 2 мг/мл, 30 мл - флакон (1) - пачка картонная</t>
  </si>
  <si>
    <t>раствор для внутривенного и внутримышечного введения,  5 мг/мл, 1 мл - ампула (10)  - пачка картонная</t>
  </si>
  <si>
    <t>таблетки кишечнорастворимые, покрытые пленочной оболочкой,  25 ЕД, 10 шт. - упаковки ячейковые контурные (6)  - пачки картонные</t>
  </si>
  <si>
    <t>лиофилизат для приготовления раствора для внутривенного и внутримышечного введения,  400 мг,760 мг  - флаконы (5)  / в комплекте с растворителем (ампулы) 5 мл-5 шт. / - пачки картонные</t>
  </si>
  <si>
    <t>капсулы,  250 мг, 10 шт. - упаковки ячейковые контурные (10) - пачки картонные</t>
  </si>
  <si>
    <t>таблетки,  2 мг, 20 шт. - упаковки ячейковые контурные (1) - пачки картонные</t>
  </si>
  <si>
    <t>раствор для внутривенного и внутримышечного введения,  10мг/мл, 1мл - ампулы (10) - коробка картонная</t>
  </si>
  <si>
    <t>порошок для приготовления суспензии для приема внутрь, с ароматом апельсина, 3 г, 3.76 г - саше (10) - пачки картонные</t>
  </si>
  <si>
    <t>таблетки,  250 мг, 10 шт. - блистер (10) - пачка картонная</t>
  </si>
  <si>
    <t>раствор для инъекций,  10 мг/мл, 1 мл - ампула (10)  - пачка картонная</t>
  </si>
  <si>
    <t>концентрат для приготовления раствора для инфузий,  40 мг/мл, 10 мл - ампула (10)  - пачка картонная</t>
  </si>
  <si>
    <t>лиофилизат для приготовления раствора для внутривенного введения,  20 мг,  - флаконы (5)  / в комплекте с растворителем: натрия хлорида раствор 0.9% (ампулы) 5 мл-5 шт. / - пачки картонные</t>
  </si>
  <si>
    <t>таблетки, покрытые пленочной оболочкой, таблетки покрытые пленочной оболочкой, 20 шт. - блистеры (5)  - пачки картонные</t>
  </si>
  <si>
    <t>раствор для внутривенного введения,  200 мг/мл, 5 мл - ампулы (10)  - коробка картонная</t>
  </si>
  <si>
    <t>раствор для инфузий,  150 мг/мл, 200 мл - бутылки для крови и кровезаменителей (28)  - коробки картонные (для стационаров)</t>
  </si>
  <si>
    <t>растворитель для приготовления лекарственных форм для инъекций, 0,9 %, 5мл (10) - пачка картонная</t>
  </si>
  <si>
    <t>раствор для подкожного введения,  2 мг/мл, 1 мл - ампулы (10)  - коробка картонная</t>
  </si>
  <si>
    <t>раствор для инъекций,  5 мг/мл, 10 мл - ампулы (10)  - пачка  картонная</t>
  </si>
  <si>
    <t>раствор для инъекций,  0.5%, 200 мл - бутылка (28) - ящик картонный (для стационаров)</t>
  </si>
  <si>
    <t>таблетки,  4 мг, 30 шт. - упаковки ячейковые контурные (1) - пачки картонные</t>
  </si>
  <si>
    <t>таблетки жевательные,  100 мг, 10 шт. - блистеры (3)  - пачки картонные</t>
  </si>
  <si>
    <t>раствор для инъекций,  0.5 мг/мл, 1 мл - ампулы (10) - коробки картонные</t>
  </si>
  <si>
    <t>раствор для внутримышечного введения, раствор для внутривенного введения, 24 мг/мл, 10 мл - ампулы (10) - коробки картонные</t>
  </si>
  <si>
    <t>мазь для наружного применения,  40 г - тубы (1) - пачки картонные</t>
  </si>
  <si>
    <t>раствор для инфузий,  50 мг/мл, 100 мл - бутылки (1)  - пачки картонные</t>
  </si>
  <si>
    <t>таблетки,  40 мг, 10 шт. - упаковки ячейковые контурные (2)  - пачки картонные</t>
  </si>
  <si>
    <t>раствор для внутривенного и внутримышечного введения,  2 мг/мл, 4 мл - ампулы (5)  - пачки картонные</t>
  </si>
  <si>
    <t>https://zakupki.gov.ru/epz/contract/contractCard/payment-info-and-target-of-order.html?reestrNumber=2481600341226000240&amp;contractInfoId=111590220</t>
  </si>
  <si>
    <t>2481600341226000240</t>
  </si>
  <si>
    <t>https://zakupki.gov.ru/epz/contract/contractCard/payment-info-and-target-of-order.html?reestrNumber=1720415236426000199&amp;contractInfoId=111863482</t>
  </si>
  <si>
    <t>1720415236426000199</t>
  </si>
  <si>
    <t>https://zakupki.gov.ru/epz/contract/contractCard/payment-info-and-target-of-order.html?reestrNumber=1666403396725000262&amp;contractInfoId=108973978</t>
  </si>
  <si>
    <t>1666403396725000262</t>
  </si>
  <si>
    <t>https://zakupki.gov.ru/epz/contract/contractCard/payment-info-and-target-of-order.html?reestrNumber=2911100862926000389&amp;contractInfoId=112207978</t>
  </si>
  <si>
    <t xml:space="preserve"> 2911100862926000389</t>
  </si>
  <si>
    <t>https://zakupki.gov.ru/epz/contract/contractCard/payment-info-and-target-of-order.html?reestrNumber=2121502050626000066&amp;contractInfoId=112128677</t>
  </si>
  <si>
    <t>2121502050626000066</t>
  </si>
  <si>
    <t>https://zakupki.gov.ru/epz/contract/contractCard/payment-info-and-target-of-order.html?reestrNumber=3741700143326000095&amp;contractInfoId=111667604</t>
  </si>
  <si>
    <t xml:space="preserve"> 3741700143326000095</t>
  </si>
  <si>
    <t>https://zakupki.gov.ru/epz/contract/contractCard/payment-info-and-target-of-order.html?reestrNumber=2450200046726000040&amp;contractInfoId=110282390</t>
  </si>
  <si>
    <t xml:space="preserve"> 2450200046726000040</t>
  </si>
  <si>
    <t>https://zakupki.gov.ru/epz/contract/contractCard/payment-info-and-target-of-order.html?reestrNumber=2667138083426000049&amp;contractInfoId=107265702</t>
  </si>
  <si>
    <t>2667138083426000049</t>
  </si>
  <si>
    <t>https://zakupki.gov.ru/epz/contract/contractCard/payment-info-and-target-of-order.html?reestrNumber=1742200120626000280&amp;contractInfoId=111155383</t>
  </si>
  <si>
    <t>1742200120626000280</t>
  </si>
  <si>
    <t>https://zakupki.gov.ru/epz/contract/contractCard/payment-info-and-target-of-order.html?reestrNumber=3743500163726000033&amp;contractInfoId=108142265</t>
  </si>
  <si>
    <t>3743500163726000033</t>
  </si>
  <si>
    <t>https://zakupki.gov.ru/epz/contract/contractCard/payment-info-and-target-of-order.html?reestrNumber=1741302857926000077&amp;contractInfoId=111933762</t>
  </si>
  <si>
    <t>1741302857926000077</t>
  </si>
  <si>
    <t>https://zakupki.gov.ru/epz/contract/contractCard/payment-info-and-target-of-order.html?reestrNumber=3740400504626000397&amp;contractInfoId=111780955</t>
  </si>
  <si>
    <t>3740400504626000397</t>
  </si>
  <si>
    <t>https://zakupki.gov.ru/epz/contract/contractCard/payment-info-and-target-of-order.html?reestrNumber=2890502694826000045&amp;contractInfoId=110453756</t>
  </si>
  <si>
    <t>2890502694826000045</t>
  </si>
  <si>
    <t>https://zakupki.gov.ru/epz/contract/contractCard/payment-info-and-target-of-order.html?reestrNumber=2890900037026000056&amp;contractInfoId=110297699</t>
  </si>
  <si>
    <t>2890900037026000056</t>
  </si>
  <si>
    <t>https://zakupki.gov.ru/epz/contract/contractCard/payment-info-and-target-of-order.html?reestrNumber=2741800356026000029&amp;contractInfoId=109898223</t>
  </si>
  <si>
    <t>2741800356026000029</t>
  </si>
  <si>
    <t>https://zakupki.gov.ru/epz/contract/contractCard/payment-info-and-target-of-order.html?reestrNumber=2890100700626000436&amp;contractInfoId=108972439</t>
  </si>
  <si>
    <t>2890100700626000436</t>
  </si>
  <si>
    <t>https://zakupki.gov.ru/epz/contract/contractCard/payment-info-and-target-of-order.html?reestrNumber=1720415236426000419&amp;contractInfoId=112014429</t>
  </si>
  <si>
    <t>1720415236426000419</t>
  </si>
  <si>
    <t>https://zakupki.gov.ru/epz/contract/contractCard/payment-info-and-target-of-order.html?reestrNumber=1666403396726000147&amp;contractInfoId=112211737</t>
  </si>
  <si>
    <t>1666403396726000147</t>
  </si>
  <si>
    <t>https://zakupki.gov.ru/epz/contract/contractCard/payment-info-and-target-of-order.html?reestrNumber=2745200790326000067&amp;contractInfoId=111204705</t>
  </si>
  <si>
    <t>2745200790326000067</t>
  </si>
  <si>
    <t>https://zakupki.gov.ru/epz/contract/contractCard/payment-info-and-target-of-order.html?reestrNumber=1720415236426000351&amp;contractInfoId=111140715</t>
  </si>
  <si>
    <t xml:space="preserve"> 1720415236426000351</t>
  </si>
  <si>
    <t>https://zakupki.gov.ru/epz/contract/contractCard/payment-info-and-target-of-order.html?reestrNumber=2720216180726000519&amp;contractInfoId=110763454</t>
  </si>
  <si>
    <t>2720216180726000519</t>
  </si>
  <si>
    <t>https://zakupki.gov.ru/epz/contract/contractCard/payment-info-and-target-of-order.html?reestrNumber=2860200155026000094&amp;contractInfoId=110187010</t>
  </si>
  <si>
    <t xml:space="preserve"> 2860200155026000094</t>
  </si>
  <si>
    <t xml:space="preserve">Предмет закупки: Поставка лекарственных препаратов для медицинского применения </t>
  </si>
  <si>
    <t>https://zakupki.gov.ru/epz/contract/contractCard/payment-info-and-target-of-order.html?reestrNumber=1745304000426000035&amp;contractInfoId=110730436</t>
  </si>
  <si>
    <t xml:space="preserve"> 1745304000426000035</t>
  </si>
  <si>
    <t>https://zakupki.gov.ru/epz/contract/contractCard/payment-info-and-target-of-order.html?reestrNumber=2450101993026000087&amp;contractInfoId=111022348</t>
  </si>
  <si>
    <t>2450101993026000087</t>
  </si>
  <si>
    <t>https://zakupki.gov.ru/epz/contract/contractCard/payment-info-and-target-of-order.html?reestrNumber=3741700143326000092&amp;contractInfoId=111623985</t>
  </si>
  <si>
    <t>3741700143326000092</t>
  </si>
  <si>
    <t>1745304000426000035</t>
  </si>
  <si>
    <t>https://zakupki.gov.ru/epz/contract/contractCard/payment-info-and-target-of-order.html?reestrNumber=2745313582726000776&amp;contractInfoId=108943457</t>
  </si>
  <si>
    <t>2745313582726000776</t>
  </si>
  <si>
    <t>https://zakupki.gov.ru/epz/contract/contractCard/payment-info-and-target-of-order.html?reestrNumber=2720216180726000150&amp;contractInfoId=108521332</t>
  </si>
  <si>
    <t xml:space="preserve"> 2720216180726000150</t>
  </si>
  <si>
    <t>https://zakupki.gov.ru/epz/contract/contractCard/payment-info-and-target-of-order.html?reestrNumber=2860103583826000699&amp;contractInfoId=111103566</t>
  </si>
  <si>
    <t>2860103583826000699</t>
  </si>
  <si>
    <t>https://zakupki.gov.ru/epz/contract/contractCard/payment-info-and-target-of-order.html?reestrNumber=3743800303026000146&amp;contractInfoId=110720218</t>
  </si>
  <si>
    <t>3743800303026000146</t>
  </si>
  <si>
    <t>https://zakupki.gov.ru/epz/contract/contractCard/payment-info-and-target-of-order.html?reestrNumber=1742200120626000282&amp;contractInfoId=111144532</t>
  </si>
  <si>
    <t>1742200120626000282</t>
  </si>
  <si>
    <t>https://zakupki.gov.ru/epz/contract/contractCard/payment-info-and-target-of-order.html?reestrNumber=2860200080626000402&amp;contractInfoId=110374576</t>
  </si>
  <si>
    <t>2860200080626000402</t>
  </si>
  <si>
    <t>https://zakupki.gov.ru/epz/contract/contractCard/payment-info-and-target-of-order.html?reestrNumber=3743200028026000140&amp;contractInfoId=110996556</t>
  </si>
  <si>
    <t>3743200028026000140</t>
  </si>
  <si>
    <t>https://zakupki.gov.ru/epz/contract/contractCard/payment-info-and-target-of-order.html?reestrNumber=3743100150926000053&amp;contractInfoId=111406479</t>
  </si>
  <si>
    <t>3743100150926000053</t>
  </si>
  <si>
    <t>https://zakupki.gov.ru/epz/contract/contractCard/payment-info-and-target-of-order.html?reestrNumber=1742300385526000268&amp;contractInfoId=111736055</t>
  </si>
  <si>
    <t>1742300385526000268</t>
  </si>
  <si>
    <t>https://zakupki.gov.ru/epz/contract/contractCard/payment-info-and-target-of-order.html?reestrNumber=2861900497526000080&amp;contractInfoId=108637860#page-2</t>
  </si>
  <si>
    <t>2861900497526000080</t>
  </si>
  <si>
    <t>https://zakupki.gov.ru/epz/contract/contractCard/payment-info-and-target-of-order.html?reestrNumber=2720216180726000444&amp;contractInfoId=110341347</t>
  </si>
  <si>
    <t>2720216180726000444</t>
  </si>
  <si>
    <t>https://zakupki.gov.ru/epz/contract/contractCard/payment-info-and-target-of-order.html?reestrNumber=2745313582726000647&amp;contractInfoId=108594132</t>
  </si>
  <si>
    <t>2745313582726000647</t>
  </si>
  <si>
    <t>https://zakupki.gov.ru/epz/contract/contractCard/payment-info-and-target-of-order.html?reestrNumber=2861701443126000054&amp;contractInfoId=110994329</t>
  </si>
  <si>
    <t>2861701443126000054</t>
  </si>
  <si>
    <t>https://zakupki.gov.ru/epz/contract/contractCard/payment-info-and-target-of-order.html?reestrNumber=1745321598426000311&amp;contractInfoId=110919467</t>
  </si>
  <si>
    <t>1745321598426000311</t>
  </si>
  <si>
    <t>https://zakupki.gov.ru/epz/contract/contractCard/payment-info-and-target-of-order.html?reestrNumber=2745301364225000393&amp;contractInfoId=99678322</t>
  </si>
  <si>
    <t xml:space="preserve"> 2745301364225000393</t>
  </si>
  <si>
    <t>https://zakupki.gov.ru/epz/contract/contractCard/payment-info-and-target-of-order.html?reestrNumber=2660100479426000004&amp;contractInfoId=108624710</t>
  </si>
  <si>
    <t>https://zakupki.gov.ru/epz/contract/contractCard/payment-info-and-target-of-order.html?reestrNumber=3743600092525000201&amp;contractInfoId=105925682</t>
  </si>
  <si>
    <t>https://zakupki.gov.ru/epz/contract/contractCard/payment-info-and-target-of-order.html?reestrNumber=2860200080626000448&amp;contractInfoId=110855448</t>
  </si>
  <si>
    <t>https://zakupki.gov.ru/epz/contract/contractCard/payment-info-and-target-of-order.html?reestrNumber=2742900154026000084&amp;contractInfoId=110829520</t>
  </si>
  <si>
    <t>https://zakupki.gov.ru/epz/contract/contractCard/payment-info-and-target-of-order.html?reestrNumber=3743800303026000204&amp;contractInfoId=112101365</t>
  </si>
  <si>
    <t>https://zakupki.gov.ru/epz/contract/contractCard/payment-info-and-target-of-order.html?reestrNumber=1745321598426000300&amp;contractInfoId=110818946</t>
  </si>
  <si>
    <t>https://zakupki.gov.ru/epz/contract/contractCard/payment-info-and-target-of-order.html?reestrNumber=2390604084026000291&amp;contractInfoId=111854967</t>
  </si>
  <si>
    <t>https://zakupki.gov.ru/epz/contract/contractCard/payment-info-and-target-of-order.html?reestrNumber=2243800004726000140&amp;contractInfoId=111577293</t>
  </si>
  <si>
    <t>https://zakupki.gov.ru/epz/contract/contractCard/payment-info-and-target-of-order.html?reestrNumber=1246200396226000988&amp;contractInfoId=111608699</t>
  </si>
  <si>
    <t>https://zakupki.gov.ru/epz/contract/contractCard/payment-info-and-target-of-order.html?reestrNumber=2631819736726003545&amp;contractInfoId=111449830</t>
  </si>
  <si>
    <t>https://zakupki.gov.ru/epz/contract/contractCard/payment-info-and-target-of-order.html?reestrNumber=2111900040126000207&amp;contractInfoId=112039358</t>
  </si>
  <si>
    <t>https://zakupki.gov.ru/epz/contract/contractCard/payment-info-and-target-of-order.html?reestrNumber=2911100862926000390&amp;contractInfoId=112180505</t>
  </si>
  <si>
    <t>https://zakupki.gov.ru/epz/contract/contractCard/payment-info-and-target-of-order.html?reestrNumber=2711400803826000122&amp;contractInfoId=111437138#page-2</t>
  </si>
  <si>
    <t>https://zakupki.gov.ru/epz/contract/contractCard/payment-info-and-target-of-order.html?reestrNumber=1111600443026000103&amp;contractInfoId=111943250</t>
  </si>
  <si>
    <t>https://zakupki.gov.ru/epz/contract/contractCard/payment-info-and-target-of-order.html?reestrNumber=2245600948326000088&amp;contractInfoId=111879671</t>
  </si>
  <si>
    <t>https://zakupki.gov.ru/epz/contract/contractCard/payment-info-and-target-of-order.html?reestrNumber=1720415236426000409&amp;contractInfoId=111806748</t>
  </si>
  <si>
    <t>https://zakupki.gov.ru/epz/contract/contractCard/payment-info-and-target-of-order.html?reestrNumber=2121602959726000283&amp;contractInfoId=111792789</t>
  </si>
  <si>
    <t>https://zakupki.gov.ru/epz/contract/contractCard/payment-info-and-target-of-order.html?reestrNumber=2482500523026000240&amp;contractInfoId=112004042</t>
  </si>
  <si>
    <t>https://zakupki.gov.ru/epz/contract/contractCard/payment-info-and-target-of-order.html?reestrNumber=2190100531026000752&amp;contractInfoId=111902355</t>
  </si>
  <si>
    <t>https://zakupki.gov.ru/epz/contract/contractCard/payment-info-and-target-of-order.html?reestrNumber=2482601045826000246&amp;contractInfoId=111797351</t>
  </si>
  <si>
    <t>https://zakupki.gov.ru/epz/contract/contractCard/payment-info-and-target-of-order.html?reestrNumber=1111700080826000049&amp;contractInfoId=111702005</t>
  </si>
  <si>
    <t>https://zakupki.gov.ru/epz/contract/contractCard/payment-info-and-target-of-order.html?reestrNumber=2616502353026000566&amp;contractInfoId=111604755</t>
  </si>
  <si>
    <t>https://zakupki.gov.ru/epz/contract/contractCard/payment-info-and-target-of-order.html?reestrNumber=3740400504626000296&amp;contractInfoId=110544615</t>
  </si>
  <si>
    <t xml:space="preserve">Вл.Вып.к.Перв.Уп.Втор.Уп.Пр.Общество с ограниченной ответственностью "МОСФАРМ" (ООО "МОСФАРМ"), Россия (5042121905); </t>
  </si>
  <si>
    <t xml:space="preserve">Вл.Акционерное общество "Фармасинтез" (АО "Фармасинтез"), Россия (3810023308); Вып.к.Перв.Уп.Втор.Уп.Пр.Акционерное общество "Фармасинтез" (АО "Фармасинтез"), Россия (3810023308); </t>
  </si>
  <si>
    <t xml:space="preserve">Вл.Открытое акционерное общество "Авексима", Россия (7714856826); Вып.к.Перв.Уп.Втор.Уп.Пр.Общество с ограниченной ответственностью  "Авексима Сибирь", Россия (4205051780); </t>
  </si>
  <si>
    <t xml:space="preserve">Вл.Открытое акционерное общество "Авексима", Россия (7714856826); Вып.к.Перв.Уп.Втор.Уп.Пр.Открытое акционерное общество "Ирбитский химико-фармацевтический завод" (ОАО "Ирбитский химфармзавод"), Россия (6611000252); </t>
  </si>
  <si>
    <t>ООО "АЛВИЛС" - Россия;Пр.,Перв.Уп.,Втор.Уп.,Вып.к.-Северная Китайская Фармацевтическая Корпорация Лтд - Китай.</t>
  </si>
  <si>
    <t xml:space="preserve">Вл.Вып.к.Перв.Уп.Втор.Уп.Пр.Открытое акционерное общество "Борисовский завод медицинских препаратов" (ОАО "БЗМП"), Республика Беларусь (600125834); </t>
  </si>
  <si>
    <t xml:space="preserve">Вл.ратиофарм ГмбХ, Германия (812425448); Вып.к.Перв.Уп.Втор.Уп.Пр.Меркле ГмбХ, Германия (239707564); </t>
  </si>
  <si>
    <t xml:space="preserve">Вл.Общество с ограниченной ответственностью "Атолл" (ООО "Атолл"), Россия (6345021323); Вып.к.Перв.Уп.Втор.Уп.Пр.Общество с ограниченной ответственностью "Озон" (ООО "Озон"), Россия (6345002063); </t>
  </si>
  <si>
    <t xml:space="preserve">Вл.Вып.к.Перв.Уп.Втор.Уп.Пр.ПАО "Биосинтез", Россия (5834001025); </t>
  </si>
  <si>
    <t xml:space="preserve">Вл.Общество с ограниченной ответственностью "ДИАМЕД-фарма" (ООО "ДИАМЕД-фарма"), Россия (5018131074); Вып.к.Перв.Уп.Втор.Уп.Пр.Общество с ограниченной ответственностью "КОМПАНИЯ "ДЕКО" (ООО "КОМПАНИЯ "ДЕКО"), Россия (7731205648); </t>
  </si>
  <si>
    <t xml:space="preserve">Вл.Общество с ограниченной ответственностью "Научно-производственная компания "Скан Биотек" (ООО "НПК "Скан Биотек), Россия (9729298279); Вып.к.Перв.Уп.Втор.Уп.Пр.Общество с ограниченной ответственностью "Научно-производственная компания "Скан Биотек" (ООО "НПК "Скан Биотек"), Россия (9729298279); </t>
  </si>
  <si>
    <t xml:space="preserve">Вл.Вып.к.Перв.Уп.Втор.Уп.Пр.Акционерное общество "Химико-фармацевтический комбинат "АКРИХИН" (АО "АКРИХИН"), Россия (5031013320); </t>
  </si>
  <si>
    <t xml:space="preserve">Вл.Вып.к.Перв.Уп.Втор.Уп.Пр.Акционерное общество "ДАЛЬХИМФАРМ" (АО "ДАЛЬХИМФАРМ"), Россия (2702010564); </t>
  </si>
  <si>
    <t xml:space="preserve">Вл.ООО "ВЕСТ", Россия (7725383554); Вып.к.Перв.Уп.Втор.Уп.Пр.Открытое акционерное общество "Самарамедпром" (ОАО "Самарамедпром"), Россия (6335003533); </t>
  </si>
  <si>
    <t xml:space="preserve">Вл.Сандоз д.д., Словения (SI76665623); Пр.ООО "Новартис Фармасьютикал Мэньюфекчуринг", Словения (SI 98914227); Вып.к.Перв.Уп.Втор.Уп.Лек Фармасьютикалс д.д., Словения (SI87916452); </t>
  </si>
  <si>
    <t xml:space="preserve">Вл.Вып.к.Перв.Уп.Втор.Уп.Пр.Дальхимфарм ОАО, Россия (2702010564); </t>
  </si>
  <si>
    <t xml:space="preserve">Вл.Вып.к.Перв.Уп.Втор.Уп.Пр.Общество с ограниченной ответственностью "Гротекс" (ООО "Гротекс"), Россия (7814459396); </t>
  </si>
  <si>
    <t xml:space="preserve">Вл.Вып.к.Перв.Уп.Втор.Уп.Пр.Общество с ограниченной ответственностью ''Эллара'' (ООО ''Эллара''), Россия (3321028719); </t>
  </si>
  <si>
    <t xml:space="preserve">Вл.Общество с ограниченной ответственностью "АЛВИЛС" (ООО "АЛВИЛС"), Россия (7722176486); Вып.к.Перв.Уп.Втор.Уп.Пр.Общество с ограниченной ответственностью "ЮжФарм" (ООО "ЮжФарм"), Россия (6166063630); </t>
  </si>
  <si>
    <t xml:space="preserve">Вл.Вып.к.Перв.Уп.Втор.Уп.Пр.Товарищество с ограниченной ответственностью "Kelun-Kazpharm" ("Келун-Казфарм"), Республика Казахстан (120840004709); </t>
  </si>
  <si>
    <t xml:space="preserve">Вл.Вып.к.Перв.Уп.Втор.Уп.Пр.Акционерное общество "Нижегородский химико-фармацевтический завод" (АО "Нижфарм"), Россия (5260900010); </t>
  </si>
  <si>
    <t xml:space="preserve">Вл.Вып.к.Перв.Уп.Втор.Уп.Пр.Акционерное общество "Органика" (АО "Органика"), Россия (4221000630); </t>
  </si>
  <si>
    <t xml:space="preserve">Празиквантел </t>
  </si>
  <si>
    <t>таблетки, покрытые пленочной оболочной, 600 мг, 6 шт. – банки (1) – пачки картонные</t>
  </si>
  <si>
    <t>https://zakupki.gov.ru/epz/contract/contractCard/payment-info-and-target-of-order.html?reestrNumber=2550403909126000206&amp;contractInfoId=111662670</t>
  </si>
  <si>
    <t>https://zakupki.gov.ru/epz/contract/contractCard/payment-info-and-target-of-order.html?reestrNumber=1245203495426000495&amp;contractInfoId=111240741</t>
  </si>
  <si>
    <t xml:space="preserve">Вл.ООО "Лайф Сайнсес ОХФК", Россия (4025440138); Вып.к.Перв.Уп.Втор.Уп.Пр.ЗАО `Обнинская химико-фармацевтическая компания` (ЗАО ОХФК), Россия (4025062616); </t>
  </si>
  <si>
    <t>( Четыреста девяносто две тысячи тридцать шесть руб., 32 коп.)</t>
  </si>
  <si>
    <t>21.20.10.191</t>
  </si>
  <si>
    <t>21.20.10.121</t>
  </si>
  <si>
    <t> 21.20.10.194</t>
  </si>
  <si>
    <t>21.20.10.154</t>
  </si>
  <si>
    <t>21.20.10.236</t>
  </si>
  <si>
    <t>21.20.10.235</t>
  </si>
  <si>
    <t>21.20.10.118</t>
  </si>
  <si>
    <t>21.20.10.110</t>
  </si>
  <si>
    <t> 21.20.10.114</t>
  </si>
  <si>
    <t>21.20.10.116</t>
  </si>
  <si>
    <t>21.20.10.132</t>
  </si>
  <si>
    <t>21.20.10.141</t>
  </si>
  <si>
    <t>21.20.10.134</t>
  </si>
  <si>
    <t>21.20.10.112</t>
  </si>
  <si>
    <t>21.20.23.193</t>
  </si>
  <si>
    <t>21.20.10.255</t>
  </si>
  <si>
    <t xml:space="preserve">
21.20.10.134</t>
  </si>
  <si>
    <t>21.20.10.113</t>
  </si>
  <si>
    <t xml:space="preserve">
21.20.10.231</t>
  </si>
  <si>
    <t>21.20.10.231</t>
  </si>
  <si>
    <t>21.20.10.225</t>
  </si>
  <si>
    <t>21.20.10.133</t>
  </si>
  <si>
    <t>21.20.10.254</t>
  </si>
  <si>
    <t>21.20.10.156</t>
  </si>
  <si>
    <t>21.20.10.242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</si>
</sst>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00000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0"/>
      <name val="Liberation Serif"/>
      <family val="1"/>
      <charset val="204"/>
    </font>
    <font>
      <sz val="10"/>
      <color indexed="8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0"/>
      <color rgb="FFFF0000"/>
      <name val="Liberation Serif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2"/>
      <charset val="204"/>
    </font>
    <font>
      <sz val="8"/>
      <color theme="1"/>
      <name val="Times New Roman"/>
      <family val="2"/>
      <charset val="204"/>
    </font>
    <font>
      <b/>
      <sz val="10"/>
      <color theme="1"/>
      <name val="Liberation Serif"/>
      <family val="1"/>
      <charset val="204"/>
    </font>
    <font>
      <b/>
      <sz val="10"/>
      <color rgb="FFFF0000"/>
      <name val="Liberation Serif"/>
      <family val="1"/>
      <charset val="204"/>
    </font>
    <font>
      <sz val="10"/>
      <color indexed="8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7030A0"/>
      <name val="Liberation Serif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9"/>
      <color indexed="8"/>
      <name val="Liberation Serif"/>
      <family val="1"/>
      <charset val="204"/>
    </font>
    <font>
      <sz val="8"/>
      <color theme="1"/>
      <name val="Calibri"/>
      <family val="2"/>
      <scheme val="minor"/>
    </font>
    <font>
      <sz val="8"/>
      <color indexed="8"/>
      <name val="Liberation Serif"/>
      <family val="1"/>
      <charset val="204"/>
    </font>
    <font>
      <u/>
      <sz val="8"/>
      <color theme="10"/>
      <name val="Arial"/>
      <family val="2"/>
      <charset val="204"/>
    </font>
    <font>
      <sz val="8"/>
      <name val="Liberation Serif"/>
      <family val="1"/>
      <charset val="204"/>
    </font>
    <font>
      <b/>
      <sz val="8"/>
      <name val="Liberation Serif"/>
      <family val="1"/>
      <charset val="204"/>
    </font>
    <font>
      <sz val="8"/>
      <color theme="1"/>
      <name val="Liberation Serif"/>
      <family val="1"/>
      <charset val="204"/>
    </font>
    <font>
      <i/>
      <sz val="8"/>
      <color theme="1"/>
      <name val="Liberation Serif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Liberation Serif"/>
      <charset val="204"/>
    </font>
    <font>
      <u/>
      <sz val="10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43" fontId="2" fillId="0" borderId="0" applyFont="0" applyFill="0" applyBorder="0" applyAlignment="0" applyProtection="0"/>
    <xf numFmtId="0" fontId="14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1" fillId="0" borderId="0"/>
    <xf numFmtId="164" fontId="23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2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10" fontId="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top"/>
    </xf>
    <xf numFmtId="0" fontId="16" fillId="0" borderId="0" xfId="0" applyFont="1" applyAlignment="1">
      <alignment horizontal="center" vertical="top" wrapText="1"/>
    </xf>
    <xf numFmtId="0" fontId="11" fillId="0" borderId="0" xfId="0" applyFont="1" applyAlignment="1">
      <alignment vertical="top"/>
    </xf>
    <xf numFmtId="4" fontId="11" fillId="0" borderId="0" xfId="0" applyNumberFormat="1" applyFont="1" applyAlignment="1">
      <alignment horizontal="center" vertical="top" wrapText="1"/>
    </xf>
    <xf numFmtId="4" fontId="11" fillId="0" borderId="0" xfId="0" applyNumberFormat="1" applyFont="1" applyAlignment="1">
      <alignment horizontal="center" vertical="top"/>
    </xf>
    <xf numFmtId="4" fontId="16" fillId="0" borderId="0" xfId="0" applyNumberFormat="1" applyFont="1" applyAlignment="1">
      <alignment horizontal="center" vertical="top" wrapText="1"/>
    </xf>
    <xf numFmtId="4" fontId="16" fillId="0" borderId="0" xfId="0" applyNumberFormat="1" applyFont="1" applyAlignment="1">
      <alignment horizontal="center" vertical="top"/>
    </xf>
    <xf numFmtId="0" fontId="8" fillId="0" borderId="0" xfId="0" applyFont="1" applyAlignment="1">
      <alignment wrapText="1"/>
    </xf>
    <xf numFmtId="4" fontId="8" fillId="0" borderId="0" xfId="0" applyNumberFormat="1" applyFont="1" applyAlignment="1">
      <alignment wrapText="1"/>
    </xf>
    <xf numFmtId="0" fontId="7" fillId="0" borderId="0" xfId="0" applyFont="1"/>
    <xf numFmtId="4" fontId="7" fillId="0" borderId="0" xfId="0" applyNumberFormat="1" applyFont="1"/>
    <xf numFmtId="14" fontId="3" fillId="0" borderId="0" xfId="0" applyNumberFormat="1" applyFont="1"/>
    <xf numFmtId="14" fontId="11" fillId="0" borderId="0" xfId="0" applyNumberFormat="1" applyFont="1"/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2" fontId="19" fillId="0" borderId="0" xfId="0" applyNumberFormat="1" applyFont="1" applyAlignment="1">
      <alignment wrapText="1"/>
    </xf>
    <xf numFmtId="43" fontId="6" fillId="0" borderId="1" xfId="1" applyFont="1" applyBorder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8" fillId="0" borderId="1" xfId="3" applyBorder="1" applyAlignment="1">
      <alignment wrapText="1"/>
    </xf>
    <xf numFmtId="0" fontId="3" fillId="0" borderId="1" xfId="0" applyFont="1" applyBorder="1"/>
    <xf numFmtId="0" fontId="27" fillId="0" borderId="0" xfId="0" applyFont="1" applyAlignment="1">
      <alignment wrapText="1"/>
    </xf>
    <xf numFmtId="0" fontId="27" fillId="0" borderId="0" xfId="0" applyFont="1"/>
    <xf numFmtId="0" fontId="28" fillId="0" borderId="1" xfId="0" applyFont="1" applyBorder="1" applyAlignment="1">
      <alignment horizontal="center" vertical="center" wrapText="1"/>
    </xf>
    <xf numFmtId="0" fontId="29" fillId="0" borderId="0" xfId="3" applyFont="1" applyAlignment="1">
      <alignment wrapText="1"/>
    </xf>
    <xf numFmtId="0" fontId="33" fillId="0" borderId="1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top" wrapText="1"/>
    </xf>
    <xf numFmtId="4" fontId="32" fillId="0" borderId="1" xfId="0" applyNumberFormat="1" applyFont="1" applyBorder="1" applyAlignment="1">
      <alignment horizontal="center" vertical="center" wrapText="1"/>
    </xf>
    <xf numFmtId="0" fontId="18" fillId="0" borderId="0" xfId="3"/>
    <xf numFmtId="0" fontId="0" fillId="0" borderId="1" xfId="0" applyBorder="1" applyAlignment="1">
      <alignment wrapText="1"/>
    </xf>
    <xf numFmtId="0" fontId="24" fillId="0" borderId="1" xfId="3" applyFont="1" applyBorder="1" applyAlignment="1">
      <alignment horizontal="center" vertical="center" wrapText="1"/>
    </xf>
    <xf numFmtId="0" fontId="36" fillId="0" borderId="1" xfId="3" applyFont="1" applyBorder="1" applyAlignment="1">
      <alignment horizontal="center" vertical="center" wrapText="1"/>
    </xf>
    <xf numFmtId="0" fontId="18" fillId="0" borderId="0" xfId="3" applyAlignment="1">
      <alignment wrapText="1"/>
    </xf>
    <xf numFmtId="0" fontId="36" fillId="0" borderId="1" xfId="0" applyFont="1" applyBorder="1" applyAlignment="1">
      <alignment horizontal="center" vertical="center"/>
    </xf>
    <xf numFmtId="0" fontId="18" fillId="0" borderId="1" xfId="3" applyBorder="1" applyAlignment="1">
      <alignment horizontal="center" vertical="top" wrapText="1"/>
    </xf>
    <xf numFmtId="0" fontId="3" fillId="0" borderId="4" xfId="0" applyFont="1" applyBorder="1"/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" fontId="37" fillId="2" borderId="1" xfId="0" applyNumberFormat="1" applyFont="1" applyFill="1" applyBorder="1" applyAlignment="1">
      <alignment horizontal="center" vertical="center" wrapText="1"/>
    </xf>
    <xf numFmtId="0" fontId="18" fillId="0" borderId="1" xfId="3" applyBorder="1" applyAlignment="1">
      <alignment horizontal="center" vertical="center" wrapText="1"/>
    </xf>
    <xf numFmtId="0" fontId="0" fillId="0" borderId="0" xfId="0" applyAlignment="1">
      <alignment wrapText="1"/>
    </xf>
    <xf numFmtId="4" fontId="3" fillId="0" borderId="1" xfId="0" applyNumberFormat="1" applyFont="1" applyBorder="1" applyAlignment="1">
      <alignment horizontal="center" vertical="center" wrapText="1"/>
    </xf>
    <xf numFmtId="4" fontId="3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/>
    <xf numFmtId="0" fontId="3" fillId="2" borderId="0" xfId="0" applyFont="1" applyFill="1"/>
    <xf numFmtId="0" fontId="0" fillId="2" borderId="0" xfId="0" applyFill="1"/>
    <xf numFmtId="0" fontId="8" fillId="2" borderId="0" xfId="0" applyFont="1" applyFill="1"/>
    <xf numFmtId="0" fontId="8" fillId="2" borderId="0" xfId="0" applyFont="1" applyFill="1" applyAlignment="1">
      <alignment vertical="top"/>
    </xf>
    <xf numFmtId="0" fontId="11" fillId="2" borderId="0" xfId="0" applyFont="1" applyFill="1"/>
    <xf numFmtId="2" fontId="8" fillId="2" borderId="0" xfId="0" applyNumberFormat="1" applyFont="1" applyFill="1"/>
    <xf numFmtId="0" fontId="30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4" fontId="18" fillId="0" borderId="1" xfId="3" applyNumberFormat="1" applyBorder="1" applyAlignment="1">
      <alignment horizontal="center" vertical="center" wrapText="1"/>
    </xf>
    <xf numFmtId="4" fontId="18" fillId="0" borderId="1" xfId="3" applyNumberFormat="1" applyBorder="1" applyAlignment="1">
      <alignment wrapText="1"/>
    </xf>
    <xf numFmtId="49" fontId="0" fillId="0" borderId="1" xfId="0" applyNumberFormat="1" applyBorder="1"/>
    <xf numFmtId="49" fontId="18" fillId="0" borderId="1" xfId="3" applyNumberFormat="1" applyBorder="1" applyAlignment="1">
      <alignment horizontal="center" vertical="center" wrapText="1"/>
    </xf>
    <xf numFmtId="4" fontId="35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6" fillId="0" borderId="1" xfId="3" applyFont="1" applyBorder="1" applyAlignment="1">
      <alignment horizontal="center" wrapText="1"/>
    </xf>
    <xf numFmtId="0" fontId="24" fillId="0" borderId="1" xfId="3" applyFont="1" applyBorder="1" applyAlignment="1">
      <alignment horizontal="center" wrapText="1"/>
    </xf>
    <xf numFmtId="0" fontId="38" fillId="0" borderId="0" xfId="3" applyFont="1"/>
    <xf numFmtId="0" fontId="36" fillId="0" borderId="0" xfId="3" applyFont="1"/>
    <xf numFmtId="0" fontId="12" fillId="0" borderId="0" xfId="0" applyFont="1" applyAlignment="1">
      <alignment wrapText="1"/>
    </xf>
    <xf numFmtId="0" fontId="12" fillId="0" borderId="0" xfId="0" applyFont="1"/>
    <xf numFmtId="0" fontId="34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4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6" fillId="0" borderId="5" xfId="3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34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2" fontId="34" fillId="0" borderId="5" xfId="0" applyNumberFormat="1" applyFont="1" applyBorder="1" applyAlignment="1">
      <alignment horizontal="center" vertical="center"/>
    </xf>
    <xf numFmtId="2" fontId="36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2" fontId="36" fillId="0" borderId="5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36" fillId="0" borderId="5" xfId="0" applyNumberFormat="1" applyFont="1" applyBorder="1" applyAlignment="1">
      <alignment horizontal="center" vertical="center"/>
    </xf>
    <xf numFmtId="0" fontId="12" fillId="0" borderId="5" xfId="0" applyFont="1" applyBorder="1"/>
    <xf numFmtId="0" fontId="12" fillId="0" borderId="1" xfId="0" applyFont="1" applyBorder="1" applyAlignment="1">
      <alignment wrapText="1"/>
    </xf>
    <xf numFmtId="165" fontId="12" fillId="0" borderId="1" xfId="0" applyNumberFormat="1" applyFont="1" applyBorder="1"/>
    <xf numFmtId="0" fontId="12" fillId="0" borderId="1" xfId="0" applyFont="1" applyBorder="1"/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wrapText="1"/>
    </xf>
    <xf numFmtId="165" fontId="27" fillId="0" borderId="1" xfId="0" applyNumberFormat="1" applyFont="1" applyBorder="1"/>
    <xf numFmtId="165" fontId="0" fillId="0" borderId="1" xfId="0" applyNumberFormat="1" applyBorder="1"/>
    <xf numFmtId="0" fontId="17" fillId="0" borderId="0" xfId="0" applyFont="1" applyAlignment="1">
      <alignment horizontal="left" wrapText="1"/>
    </xf>
    <xf numFmtId="0" fontId="30" fillId="0" borderId="4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8" fillId="2" borderId="0" xfId="2" applyFont="1" applyFill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4" fontId="15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right" vertical="top" wrapText="1"/>
    </xf>
    <xf numFmtId="0" fontId="1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12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4" fontId="28" fillId="0" borderId="1" xfId="0" applyNumberFormat="1" applyFont="1" applyBorder="1" applyAlignment="1">
      <alignment horizontal="center" vertical="center" wrapText="1"/>
    </xf>
    <xf numFmtId="4" fontId="32" fillId="0" borderId="1" xfId="0" applyNumberFormat="1" applyFont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4" fontId="32" fillId="0" borderId="4" xfId="0" applyNumberFormat="1" applyFont="1" applyBorder="1" applyAlignment="1">
      <alignment vertical="center"/>
    </xf>
    <xf numFmtId="4" fontId="32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3" fontId="3" fillId="0" borderId="4" xfId="1" applyFont="1" applyFill="1" applyBorder="1" applyAlignment="1">
      <alignment horizontal="center" vertical="center"/>
    </xf>
    <xf numFmtId="2" fontId="19" fillId="0" borderId="1" xfId="0" applyNumberFormat="1" applyFont="1" applyBorder="1"/>
    <xf numFmtId="2" fontId="19" fillId="0" borderId="2" xfId="0" applyNumberFormat="1" applyFont="1" applyBorder="1"/>
    <xf numFmtId="0" fontId="3" fillId="0" borderId="0" xfId="0" applyFont="1" applyBorder="1"/>
    <xf numFmtId="0" fontId="8" fillId="0" borderId="0" xfId="0" applyFont="1" applyBorder="1"/>
    <xf numFmtId="2" fontId="19" fillId="0" borderId="1" xfId="0" applyNumberFormat="1" applyFont="1" applyBorder="1" applyAlignment="1">
      <alignment wrapText="1"/>
    </xf>
  </cellXfs>
  <cellStyles count="42">
    <cellStyle name="Normal 3" xfId="18" xr:uid="{FB4492C0-1AC9-41CC-8D62-A18CD83EFF55}"/>
    <cellStyle name="Гиперссылка" xfId="3" builtinId="8"/>
    <cellStyle name="Гиперссылка 2" xfId="27" xr:uid="{113020B0-C29A-4310-93C5-57FABC315653}"/>
    <cellStyle name="Гиперссылка 3" xfId="19" xr:uid="{F5EBDC17-9BA6-4A52-AE21-486B7777FFDF}"/>
    <cellStyle name="Обычный" xfId="0" builtinId="0"/>
    <cellStyle name="Обычный 2" xfId="2" xr:uid="{00000000-0005-0000-0000-000002000000}"/>
    <cellStyle name="Обычный 2 2" xfId="26" xr:uid="{9FD89B3A-DDE8-4D86-81A5-C5278929C38F}"/>
    <cellStyle name="Обычный 2 2 2" xfId="41" xr:uid="{EEB65EE9-8EDA-4194-A446-92226CB4BC9A}"/>
    <cellStyle name="Обычный 2 3" xfId="20" xr:uid="{A01C5711-6271-4E23-9248-D5C43761C9F1}"/>
    <cellStyle name="Обычный 3" xfId="6" xr:uid="{235EC264-F304-48B0-8FDE-3E0C1A666DFD}"/>
    <cellStyle name="Обычный 3 2" xfId="7" xr:uid="{F69419C0-7188-4C49-BF8D-C48C7A9200D2}"/>
    <cellStyle name="Обычный 3 2 2" xfId="32" xr:uid="{B2CE4DA1-95A5-44D5-BF97-7BDD04C96FF3}"/>
    <cellStyle name="Обычный 3 3" xfId="21" xr:uid="{4144B5F8-6DE8-4052-82C3-56B812B42DEA}"/>
    <cellStyle name="Обычный 3 4" xfId="31" xr:uid="{6867D193-E957-4A71-8372-2886718DE09F}"/>
    <cellStyle name="Обычный 4" xfId="8" xr:uid="{DE89AA77-92D8-4F38-99C9-4DA7B19ED990}"/>
    <cellStyle name="Обычный 5" xfId="9" xr:uid="{3D187AAE-BA8E-4DCD-9EA3-724A3A8F5263}"/>
    <cellStyle name="Обычный 5 2" xfId="10" xr:uid="{4F7B0E46-6E71-44A4-B3D5-04749F94BCB0}"/>
    <cellStyle name="Обычный 5 2 2" xfId="11" xr:uid="{A88ECAF9-4460-46D3-9AB4-04934C012DC0}"/>
    <cellStyle name="Обычный 5 2 2 2" xfId="35" xr:uid="{6D61A803-533F-478E-9F2D-CDA9845A7CB7}"/>
    <cellStyle name="Обычный 5 2 3" xfId="12" xr:uid="{56A902E6-9291-42E4-A988-C2D259F3CE03}"/>
    <cellStyle name="Обычный 5 2 3 2" xfId="13" xr:uid="{F464F66C-BE68-423F-942C-89960B64E660}"/>
    <cellStyle name="Обычный 5 2 3 2 2" xfId="5" xr:uid="{88C8C037-ECA7-465C-90FE-BE49E64C9AF1}"/>
    <cellStyle name="Обычный 5 2 3 2 2 2" xfId="30" xr:uid="{4EFF0848-0DD8-4942-9AE7-0CABD88B2E17}"/>
    <cellStyle name="Обычный 5 2 3 2 3" xfId="37" xr:uid="{5B22383D-8A99-4BCD-8521-92F0F909A838}"/>
    <cellStyle name="Обычный 5 2 3 3" xfId="36" xr:uid="{DD06E70C-D0EC-4617-B835-C8F4B601FD00}"/>
    <cellStyle name="Обычный 5 2 4" xfId="14" xr:uid="{E35C8834-E868-492B-8E08-0256A17E94D0}"/>
    <cellStyle name="Обычный 5 2 4 2" xfId="38" xr:uid="{68EB7E64-0720-4D5B-85BE-51B713FB9CC7}"/>
    <cellStyle name="Обычный 5 2 5" xfId="15" xr:uid="{FA79A096-2C13-494C-9D98-8BFE10226C08}"/>
    <cellStyle name="Обычный 5 2 5 2" xfId="4" xr:uid="{1AD9DC78-DE2C-40A6-A572-E026E730C31D}"/>
    <cellStyle name="Обычный 5 2 5 2 2" xfId="29" xr:uid="{73C33AE6-71E1-47E2-B2E4-C0062A126DAD}"/>
    <cellStyle name="Обычный 5 2 5 3" xfId="39" xr:uid="{BF6A72F1-DDAB-4B87-9A3A-489DBBF498DE}"/>
    <cellStyle name="Обычный 5 2 6" xfId="28" xr:uid="{95339A30-DEEB-4E89-A281-29CB9DF895B2}"/>
    <cellStyle name="Обычный 5 2 7" xfId="34" xr:uid="{71B38927-4AB2-4D8D-8C13-D6954647D9B5}"/>
    <cellStyle name="Обычный 5 3" xfId="33" xr:uid="{8E06E918-F0AF-4482-87C7-6C7F8B6EF057}"/>
    <cellStyle name="Обычный 6" xfId="16" xr:uid="{5B85886D-4BF8-4F4E-9F05-0DEF8CCA1C24}"/>
    <cellStyle name="Обычный 6 2" xfId="40" xr:uid="{7ED1245D-B03F-4FD0-BBF9-DC54BCC886BF}"/>
    <cellStyle name="Обычный 7" xfId="17" xr:uid="{5231FA41-49B3-4CA7-9F39-AF13E485900E}"/>
    <cellStyle name="Стиль 1" xfId="22" xr:uid="{2B04A295-0D81-4078-A0A9-2D5F5770B8C1}"/>
    <cellStyle name="Финансовый" xfId="1" builtinId="3"/>
    <cellStyle name="Финансовый 2" xfId="23" xr:uid="{16E8A60E-6F08-4860-8537-9BDFDF5DDD67}"/>
    <cellStyle name="Финансовый 2 2" xfId="24" xr:uid="{5A7895E5-D794-4565-AD1A-DB7FD94F2223}"/>
    <cellStyle name="Финансовый 3" xfId="25" xr:uid="{BD2953F4-D79C-4466-9F5F-E7C113B9656A}"/>
  </cellStyles>
  <dxfs count="4"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4</xdr:row>
      <xdr:rowOff>771525</xdr:rowOff>
    </xdr:from>
    <xdr:to>
      <xdr:col>10</xdr:col>
      <xdr:colOff>771525</xdr:colOff>
      <xdr:row>4</xdr:row>
      <xdr:rowOff>1095375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15150" y="1943100"/>
          <a:ext cx="7143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247650</xdr:colOff>
      <xdr:row>3</xdr:row>
      <xdr:rowOff>495300</xdr:rowOff>
    </xdr:from>
    <xdr:to>
      <xdr:col>13</xdr:col>
      <xdr:colOff>0</xdr:colOff>
      <xdr:row>3</xdr:row>
      <xdr:rowOff>495300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667750" y="1171575"/>
          <a:ext cx="10689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438150</xdr:colOff>
      <xdr:row>3</xdr:row>
      <xdr:rowOff>495300</xdr:rowOff>
    </xdr:from>
    <xdr:to>
      <xdr:col>12</xdr:col>
      <xdr:colOff>590550</xdr:colOff>
      <xdr:row>3</xdr:row>
      <xdr:rowOff>495300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858250" y="11715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104775</xdr:colOff>
      <xdr:row>4</xdr:row>
      <xdr:rowOff>1828800</xdr:rowOff>
    </xdr:from>
    <xdr:ext cx="1266825" cy="45720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524875" y="30003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twoCellAnchor>
    <xdr:from>
      <xdr:col>11</xdr:col>
      <xdr:colOff>751416</xdr:colOff>
      <xdr:row>4</xdr:row>
      <xdr:rowOff>2534541</xdr:rowOff>
    </xdr:from>
    <xdr:to>
      <xdr:col>12</xdr:col>
      <xdr:colOff>1066799</xdr:colOff>
      <xdr:row>4</xdr:row>
      <xdr:rowOff>2872317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37333" y="3614041"/>
          <a:ext cx="1077383" cy="337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247650</xdr:colOff>
      <xdr:row>4</xdr:row>
      <xdr:rowOff>2009775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667750" y="318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12</xdr:col>
      <xdr:colOff>35983</xdr:colOff>
      <xdr:row>4</xdr:row>
      <xdr:rowOff>2185457</xdr:rowOff>
    </xdr:from>
    <xdr:to>
      <xdr:col>12</xdr:col>
      <xdr:colOff>188383</xdr:colOff>
      <xdr:row>4</xdr:row>
      <xdr:rowOff>2423582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216900" y="3317874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104775</xdr:colOff>
      <xdr:row>5</xdr:row>
      <xdr:rowOff>1828800</xdr:rowOff>
    </xdr:from>
    <xdr:ext cx="1266825" cy="45720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9023501-93FB-4A75-AA0F-0883E97CDC12}"/>
            </a:ext>
          </a:extLst>
        </xdr:cNvPr>
        <xdr:cNvSpPr txBox="1"/>
      </xdr:nvSpPr>
      <xdr:spPr>
        <a:xfrm>
          <a:off x="8884708" y="3363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5</xdr:row>
      <xdr:rowOff>2009775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8999731-D3C4-49D2-830A-C7846B75D7AC}"/>
            </a:ext>
          </a:extLst>
        </xdr:cNvPr>
        <xdr:cNvSpPr txBox="1"/>
      </xdr:nvSpPr>
      <xdr:spPr>
        <a:xfrm>
          <a:off x="9027583" y="3361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6</xdr:row>
      <xdr:rowOff>0</xdr:rowOff>
    </xdr:from>
    <xdr:ext cx="1266825" cy="45720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0557600-C672-4376-B07F-8BB532A5A21E}"/>
            </a:ext>
          </a:extLst>
        </xdr:cNvPr>
        <xdr:cNvSpPr txBox="1"/>
      </xdr:nvSpPr>
      <xdr:spPr>
        <a:xfrm>
          <a:off x="9054042" y="320294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1486651-04E3-4084-86FC-FDDC71053B41}"/>
            </a:ext>
          </a:extLst>
        </xdr:cNvPr>
        <xdr:cNvSpPr txBox="1"/>
      </xdr:nvSpPr>
      <xdr:spPr>
        <a:xfrm>
          <a:off x="9196917" y="32010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6</xdr:row>
      <xdr:rowOff>0</xdr:rowOff>
    </xdr:from>
    <xdr:ext cx="1266825" cy="45720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D3C9DF9-A9C3-4802-ADB6-10257DF2CD37}"/>
            </a:ext>
          </a:extLst>
        </xdr:cNvPr>
        <xdr:cNvSpPr txBox="1"/>
      </xdr:nvSpPr>
      <xdr:spPr>
        <a:xfrm>
          <a:off x="9054042" y="338328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1AE1929-8104-4706-A03A-C3AE3238397B}"/>
            </a:ext>
          </a:extLst>
        </xdr:cNvPr>
        <xdr:cNvSpPr txBox="1"/>
      </xdr:nvSpPr>
      <xdr:spPr>
        <a:xfrm>
          <a:off x="9196917" y="338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6</xdr:row>
      <xdr:rowOff>1828800</xdr:rowOff>
    </xdr:from>
    <xdr:ext cx="1266825" cy="45720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DC681BA-2A7B-4AA8-B3D5-52660D6D207F}"/>
            </a:ext>
          </a:extLst>
        </xdr:cNvPr>
        <xdr:cNvSpPr txBox="1"/>
      </xdr:nvSpPr>
      <xdr:spPr>
        <a:xfrm>
          <a:off x="9079442" y="320294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6</xdr:row>
      <xdr:rowOff>2009775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9CF41D3-6409-4D62-AE8E-7A1B7FAD863D}"/>
            </a:ext>
          </a:extLst>
        </xdr:cNvPr>
        <xdr:cNvSpPr txBox="1"/>
      </xdr:nvSpPr>
      <xdr:spPr>
        <a:xfrm>
          <a:off x="9222317" y="32010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7</xdr:row>
      <xdr:rowOff>0</xdr:rowOff>
    </xdr:from>
    <xdr:ext cx="1266825" cy="45720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BAED8B6-EC89-4ADF-A6C2-245FDDB5A988}"/>
            </a:ext>
          </a:extLst>
        </xdr:cNvPr>
        <xdr:cNvSpPr txBox="1"/>
      </xdr:nvSpPr>
      <xdr:spPr>
        <a:xfrm>
          <a:off x="9079442" y="338328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7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9674826-6298-4F3A-81F7-62F320A2F94F}"/>
            </a:ext>
          </a:extLst>
        </xdr:cNvPr>
        <xdr:cNvSpPr txBox="1"/>
      </xdr:nvSpPr>
      <xdr:spPr>
        <a:xfrm>
          <a:off x="9222317" y="338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7</xdr:row>
      <xdr:rowOff>1828800</xdr:rowOff>
    </xdr:from>
    <xdr:ext cx="1266825" cy="45720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B3E7168-0FAD-440B-905D-27785A097073}"/>
            </a:ext>
          </a:extLst>
        </xdr:cNvPr>
        <xdr:cNvSpPr txBox="1"/>
      </xdr:nvSpPr>
      <xdr:spPr>
        <a:xfrm>
          <a:off x="9079442" y="3790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7</xdr:row>
      <xdr:rowOff>2009775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104A4A54-927E-4C07-8FFC-BBD48B0E1C1E}"/>
            </a:ext>
          </a:extLst>
        </xdr:cNvPr>
        <xdr:cNvSpPr txBox="1"/>
      </xdr:nvSpPr>
      <xdr:spPr>
        <a:xfrm>
          <a:off x="9222317" y="3788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0</xdr:rowOff>
    </xdr:from>
    <xdr:ext cx="1266825" cy="45720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A2F2086-6F2C-46E8-BA2A-7ED1C6D301B9}"/>
            </a:ext>
          </a:extLst>
        </xdr:cNvPr>
        <xdr:cNvSpPr txBox="1"/>
      </xdr:nvSpPr>
      <xdr:spPr>
        <a:xfrm>
          <a:off x="9079442" y="4196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8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CC8ECC7-E629-4215-9A2D-06B9192B6730}"/>
            </a:ext>
          </a:extLst>
        </xdr:cNvPr>
        <xdr:cNvSpPr txBox="1"/>
      </xdr:nvSpPr>
      <xdr:spPr>
        <a:xfrm>
          <a:off x="9222317" y="4195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0</xdr:rowOff>
    </xdr:from>
    <xdr:ext cx="1266825" cy="45720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6F41E0E4-4ED4-45DA-8E89-057C185F9ED3}"/>
            </a:ext>
          </a:extLst>
        </xdr:cNvPr>
        <xdr:cNvSpPr txBox="1"/>
      </xdr:nvSpPr>
      <xdr:spPr>
        <a:xfrm>
          <a:off x="9079442" y="320294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8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953B033-3F3C-42EF-A07B-9D87F3F76F67}"/>
            </a:ext>
          </a:extLst>
        </xdr:cNvPr>
        <xdr:cNvSpPr txBox="1"/>
      </xdr:nvSpPr>
      <xdr:spPr>
        <a:xfrm>
          <a:off x="9222317" y="32010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1828800</xdr:rowOff>
    </xdr:from>
    <xdr:ext cx="1266825" cy="45720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4693C4FA-9A71-466C-BCDC-6E015D0E6ABD}"/>
            </a:ext>
          </a:extLst>
        </xdr:cNvPr>
        <xdr:cNvSpPr txBox="1"/>
      </xdr:nvSpPr>
      <xdr:spPr>
        <a:xfrm>
          <a:off x="9079442" y="338328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8</xdr:row>
      <xdr:rowOff>2009775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66C23A5-6C3C-4DFD-8B90-4D6A8B072F66}"/>
            </a:ext>
          </a:extLst>
        </xdr:cNvPr>
        <xdr:cNvSpPr txBox="1"/>
      </xdr:nvSpPr>
      <xdr:spPr>
        <a:xfrm>
          <a:off x="9222317" y="338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0</xdr:rowOff>
    </xdr:from>
    <xdr:ext cx="1266825" cy="45720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24A291D5-0C71-4276-ABB7-BC5D7729A976}"/>
            </a:ext>
          </a:extLst>
        </xdr:cNvPr>
        <xdr:cNvSpPr txBox="1"/>
      </xdr:nvSpPr>
      <xdr:spPr>
        <a:xfrm>
          <a:off x="9079442" y="3790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9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E009BF0-74E9-4B4F-AC49-99F50F20E0DD}"/>
            </a:ext>
          </a:extLst>
        </xdr:cNvPr>
        <xdr:cNvSpPr txBox="1"/>
      </xdr:nvSpPr>
      <xdr:spPr>
        <a:xfrm>
          <a:off x="9222317" y="3788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C452A460-2C61-421C-B40B-D4772169AA01}"/>
            </a:ext>
          </a:extLst>
        </xdr:cNvPr>
        <xdr:cNvSpPr txBox="1"/>
      </xdr:nvSpPr>
      <xdr:spPr>
        <a:xfrm>
          <a:off x="9079442" y="4196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9</xdr:row>
      <xdr:rowOff>2009775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3A27AE2-3241-45CD-845E-9EED595458F0}"/>
            </a:ext>
          </a:extLst>
        </xdr:cNvPr>
        <xdr:cNvSpPr txBox="1"/>
      </xdr:nvSpPr>
      <xdr:spPr>
        <a:xfrm>
          <a:off x="9222317" y="4195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0</xdr:rowOff>
    </xdr:from>
    <xdr:ext cx="1266825" cy="45720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BB8394F5-DE55-413F-AF11-388357FC8990}"/>
            </a:ext>
          </a:extLst>
        </xdr:cNvPr>
        <xdr:cNvSpPr txBox="1"/>
      </xdr:nvSpPr>
      <xdr:spPr>
        <a:xfrm>
          <a:off x="9079442" y="4679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A905CBBF-7D76-4BDD-83FC-490C02D12A7A}"/>
            </a:ext>
          </a:extLst>
        </xdr:cNvPr>
        <xdr:cNvSpPr txBox="1"/>
      </xdr:nvSpPr>
      <xdr:spPr>
        <a:xfrm>
          <a:off x="9222317" y="4677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0</xdr:rowOff>
    </xdr:from>
    <xdr:ext cx="1266825" cy="45720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0BC1B05-DE42-4300-AB21-5633444DB096}"/>
            </a:ext>
          </a:extLst>
        </xdr:cNvPr>
        <xdr:cNvSpPr txBox="1"/>
      </xdr:nvSpPr>
      <xdr:spPr>
        <a:xfrm>
          <a:off x="9079442" y="5291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EF24D32-B03D-4E3E-85CB-22ECEC1DB866}"/>
            </a:ext>
          </a:extLst>
        </xdr:cNvPr>
        <xdr:cNvSpPr txBox="1"/>
      </xdr:nvSpPr>
      <xdr:spPr>
        <a:xfrm>
          <a:off x="9222317" y="52897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0</xdr:rowOff>
    </xdr:from>
    <xdr:ext cx="1266825" cy="45720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2D251DEB-DAFC-4347-A366-BD9AF2ACE150}"/>
            </a:ext>
          </a:extLst>
        </xdr:cNvPr>
        <xdr:cNvSpPr txBox="1"/>
      </xdr:nvSpPr>
      <xdr:spPr>
        <a:xfrm>
          <a:off x="9079442" y="5695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C363CD16-422D-4745-A953-B68E516915FC}"/>
            </a:ext>
          </a:extLst>
        </xdr:cNvPr>
        <xdr:cNvSpPr txBox="1"/>
      </xdr:nvSpPr>
      <xdr:spPr>
        <a:xfrm>
          <a:off x="9222317" y="5693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0</xdr:rowOff>
    </xdr:from>
    <xdr:ext cx="1266825" cy="45720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A6CFB90-9C80-4A56-8DEC-4AA7225829D8}"/>
            </a:ext>
          </a:extLst>
        </xdr:cNvPr>
        <xdr:cNvSpPr txBox="1"/>
      </xdr:nvSpPr>
      <xdr:spPr>
        <a:xfrm>
          <a:off x="9079442" y="6101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2755C38D-44B6-4142-80C6-D5866296FED5}"/>
            </a:ext>
          </a:extLst>
        </xdr:cNvPr>
        <xdr:cNvSpPr txBox="1"/>
      </xdr:nvSpPr>
      <xdr:spPr>
        <a:xfrm>
          <a:off x="9222317" y="6100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50A05C76-0C73-46E2-AD85-8E774BDC01FF}"/>
            </a:ext>
          </a:extLst>
        </xdr:cNvPr>
        <xdr:cNvSpPr txBox="1"/>
      </xdr:nvSpPr>
      <xdr:spPr>
        <a:xfrm>
          <a:off x="9079442" y="320294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2009775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368A26A-E149-4937-85E5-7D99525DFA16}"/>
            </a:ext>
          </a:extLst>
        </xdr:cNvPr>
        <xdr:cNvSpPr txBox="1"/>
      </xdr:nvSpPr>
      <xdr:spPr>
        <a:xfrm>
          <a:off x="9222317" y="32010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31</xdr:row>
      <xdr:rowOff>1828800</xdr:rowOff>
    </xdr:from>
    <xdr:ext cx="1266825" cy="45720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58FED3B-D409-4B66-99B3-AF1E2B279A03}"/>
            </a:ext>
          </a:extLst>
        </xdr:cNvPr>
        <xdr:cNvSpPr txBox="1"/>
      </xdr:nvSpPr>
      <xdr:spPr>
        <a:xfrm>
          <a:off x="9079442" y="338328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31</xdr:row>
      <xdr:rowOff>2009775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5D18301-4A61-4B40-B1D2-FFAEEB1FB46D}"/>
            </a:ext>
          </a:extLst>
        </xdr:cNvPr>
        <xdr:cNvSpPr txBox="1"/>
      </xdr:nvSpPr>
      <xdr:spPr>
        <a:xfrm>
          <a:off x="9222317" y="338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32</xdr:row>
      <xdr:rowOff>1828800</xdr:rowOff>
    </xdr:from>
    <xdr:ext cx="1266825" cy="45720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EFC866BD-0E15-4914-9304-A80D7B653016}"/>
            </a:ext>
          </a:extLst>
        </xdr:cNvPr>
        <xdr:cNvSpPr txBox="1"/>
      </xdr:nvSpPr>
      <xdr:spPr>
        <a:xfrm>
          <a:off x="9079442" y="3790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32</xdr:row>
      <xdr:rowOff>2009775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C89BCE6D-D725-4E4E-B301-BED809B89DE0}"/>
            </a:ext>
          </a:extLst>
        </xdr:cNvPr>
        <xdr:cNvSpPr txBox="1"/>
      </xdr:nvSpPr>
      <xdr:spPr>
        <a:xfrm>
          <a:off x="9222317" y="3788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33</xdr:row>
      <xdr:rowOff>0</xdr:rowOff>
    </xdr:from>
    <xdr:ext cx="1266825" cy="45720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FD32CB4C-7673-4B45-A389-18B8CC438131}"/>
            </a:ext>
          </a:extLst>
        </xdr:cNvPr>
        <xdr:cNvSpPr txBox="1"/>
      </xdr:nvSpPr>
      <xdr:spPr>
        <a:xfrm>
          <a:off x="9079442" y="4196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33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50C61F7F-D5DF-4093-B592-ED922645B66D}"/>
            </a:ext>
          </a:extLst>
        </xdr:cNvPr>
        <xdr:cNvSpPr txBox="1"/>
      </xdr:nvSpPr>
      <xdr:spPr>
        <a:xfrm>
          <a:off x="9222317" y="4195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33</xdr:row>
      <xdr:rowOff>0</xdr:rowOff>
    </xdr:from>
    <xdr:ext cx="1266825" cy="45720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13515CE-1F89-4F9F-89E8-1888F3A253BE}"/>
            </a:ext>
          </a:extLst>
        </xdr:cNvPr>
        <xdr:cNvSpPr txBox="1"/>
      </xdr:nvSpPr>
      <xdr:spPr>
        <a:xfrm>
          <a:off x="9079442" y="4679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33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1C62B145-DB83-4311-BE0A-F4B495B0B8EE}"/>
            </a:ext>
          </a:extLst>
        </xdr:cNvPr>
        <xdr:cNvSpPr txBox="1"/>
      </xdr:nvSpPr>
      <xdr:spPr>
        <a:xfrm>
          <a:off x="9222317" y="4677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33</xdr:row>
      <xdr:rowOff>0</xdr:rowOff>
    </xdr:from>
    <xdr:ext cx="1266825" cy="45720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B71A5AF-5882-420F-A9BF-A156BD7ED085}"/>
            </a:ext>
          </a:extLst>
        </xdr:cNvPr>
        <xdr:cNvSpPr txBox="1"/>
      </xdr:nvSpPr>
      <xdr:spPr>
        <a:xfrm>
          <a:off x="9079442" y="5291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33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B6B5136A-74A1-441C-AA73-BA4FA026AAE6}"/>
            </a:ext>
          </a:extLst>
        </xdr:cNvPr>
        <xdr:cNvSpPr txBox="1"/>
      </xdr:nvSpPr>
      <xdr:spPr>
        <a:xfrm>
          <a:off x="9222317" y="52897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33</xdr:row>
      <xdr:rowOff>0</xdr:rowOff>
    </xdr:from>
    <xdr:ext cx="1266825" cy="45720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73B098D-20FB-40BA-963B-3FD2F103F3A3}"/>
            </a:ext>
          </a:extLst>
        </xdr:cNvPr>
        <xdr:cNvSpPr txBox="1"/>
      </xdr:nvSpPr>
      <xdr:spPr>
        <a:xfrm>
          <a:off x="9079442" y="5695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33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CC350076-2C32-458E-BC6E-493317C5D26A}"/>
            </a:ext>
          </a:extLst>
        </xdr:cNvPr>
        <xdr:cNvSpPr txBox="1"/>
      </xdr:nvSpPr>
      <xdr:spPr>
        <a:xfrm>
          <a:off x="9222317" y="5693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33</xdr:row>
      <xdr:rowOff>0</xdr:rowOff>
    </xdr:from>
    <xdr:ext cx="1266825" cy="45720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9043B4EC-1262-43D5-966B-8CDEF72AD07F}"/>
            </a:ext>
          </a:extLst>
        </xdr:cNvPr>
        <xdr:cNvSpPr txBox="1"/>
      </xdr:nvSpPr>
      <xdr:spPr>
        <a:xfrm>
          <a:off x="9079442" y="6101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33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632FD49-0E51-4AB0-AA9F-978AB0A60FDD}"/>
            </a:ext>
          </a:extLst>
        </xdr:cNvPr>
        <xdr:cNvSpPr txBox="1"/>
      </xdr:nvSpPr>
      <xdr:spPr>
        <a:xfrm>
          <a:off x="9222317" y="6100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33</xdr:row>
      <xdr:rowOff>0</xdr:rowOff>
    </xdr:from>
    <xdr:ext cx="1266825" cy="45720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8A9E6D57-38A1-4C89-B82A-247392CEAB2A}"/>
            </a:ext>
          </a:extLst>
        </xdr:cNvPr>
        <xdr:cNvSpPr txBox="1"/>
      </xdr:nvSpPr>
      <xdr:spPr>
        <a:xfrm>
          <a:off x="9079442" y="6584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33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6C193D4A-E158-4C09-B2D3-B67F53D4ED0B}"/>
            </a:ext>
          </a:extLst>
        </xdr:cNvPr>
        <xdr:cNvSpPr txBox="1"/>
      </xdr:nvSpPr>
      <xdr:spPr>
        <a:xfrm>
          <a:off x="9222317" y="6582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33</xdr:row>
      <xdr:rowOff>1828800</xdr:rowOff>
    </xdr:from>
    <xdr:ext cx="1266825" cy="45720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BC5ED3A7-05D6-4FD4-8F81-B07E7BAF07BC}"/>
            </a:ext>
          </a:extLst>
        </xdr:cNvPr>
        <xdr:cNvSpPr txBox="1"/>
      </xdr:nvSpPr>
      <xdr:spPr>
        <a:xfrm>
          <a:off x="9079442" y="719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33</xdr:row>
      <xdr:rowOff>2009775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4C805EB6-A647-419B-ACB9-5B374AE8D932}"/>
            </a:ext>
          </a:extLst>
        </xdr:cNvPr>
        <xdr:cNvSpPr txBox="1"/>
      </xdr:nvSpPr>
      <xdr:spPr>
        <a:xfrm>
          <a:off x="9222317" y="71947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34</xdr:row>
      <xdr:rowOff>0</xdr:rowOff>
    </xdr:from>
    <xdr:ext cx="1266825" cy="45720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3F70C033-B38E-4F61-98BE-A45024AB2BDE}"/>
            </a:ext>
          </a:extLst>
        </xdr:cNvPr>
        <xdr:cNvSpPr txBox="1"/>
      </xdr:nvSpPr>
      <xdr:spPr>
        <a:xfrm>
          <a:off x="9079442" y="7600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34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F8C40388-36BB-44E2-BE28-9FCB29BA4CDF}"/>
            </a:ext>
          </a:extLst>
        </xdr:cNvPr>
        <xdr:cNvSpPr txBox="1"/>
      </xdr:nvSpPr>
      <xdr:spPr>
        <a:xfrm>
          <a:off x="9222317" y="7598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34</xdr:row>
      <xdr:rowOff>0</xdr:rowOff>
    </xdr:from>
    <xdr:ext cx="1266825" cy="45720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2F063016-A7F0-4334-93C1-CA60B11F4E16}"/>
            </a:ext>
          </a:extLst>
        </xdr:cNvPr>
        <xdr:cNvSpPr txBox="1"/>
      </xdr:nvSpPr>
      <xdr:spPr>
        <a:xfrm>
          <a:off x="9079442" y="8006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34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EDEC8997-BF83-43E9-BCEB-D04BD12CB9A7}"/>
            </a:ext>
          </a:extLst>
        </xdr:cNvPr>
        <xdr:cNvSpPr txBox="1"/>
      </xdr:nvSpPr>
      <xdr:spPr>
        <a:xfrm>
          <a:off x="9222317" y="8005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34</xdr:row>
      <xdr:rowOff>1828800</xdr:rowOff>
    </xdr:from>
    <xdr:ext cx="1266825" cy="45720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81618261-0719-497A-8520-309A81EF0086}"/>
            </a:ext>
          </a:extLst>
        </xdr:cNvPr>
        <xdr:cNvSpPr txBox="1"/>
      </xdr:nvSpPr>
      <xdr:spPr>
        <a:xfrm>
          <a:off x="9079442" y="8489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34</xdr:row>
      <xdr:rowOff>2009775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3A0E3E2-37E7-4F28-98E3-2D719DDC490E}"/>
            </a:ext>
          </a:extLst>
        </xdr:cNvPr>
        <xdr:cNvSpPr txBox="1"/>
      </xdr:nvSpPr>
      <xdr:spPr>
        <a:xfrm>
          <a:off x="9222317" y="8487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35</xdr:row>
      <xdr:rowOff>1828800</xdr:rowOff>
    </xdr:from>
    <xdr:ext cx="1266825" cy="45720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B1D1382-43FE-44A5-8D11-B0E68B549063}"/>
            </a:ext>
          </a:extLst>
        </xdr:cNvPr>
        <xdr:cNvSpPr txBox="1"/>
      </xdr:nvSpPr>
      <xdr:spPr>
        <a:xfrm>
          <a:off x="9079442" y="9101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35</xdr:row>
      <xdr:rowOff>2009775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8F3511BB-2932-4D2B-BEA3-1D0CD2684AF7}"/>
            </a:ext>
          </a:extLst>
        </xdr:cNvPr>
        <xdr:cNvSpPr txBox="1"/>
      </xdr:nvSpPr>
      <xdr:spPr>
        <a:xfrm>
          <a:off x="9222317" y="90997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36</xdr:row>
      <xdr:rowOff>1828800</xdr:rowOff>
    </xdr:from>
    <xdr:ext cx="1266825" cy="45720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A904C0A8-F687-43C3-BCC1-1CB28A217084}"/>
            </a:ext>
          </a:extLst>
        </xdr:cNvPr>
        <xdr:cNvSpPr txBox="1"/>
      </xdr:nvSpPr>
      <xdr:spPr>
        <a:xfrm>
          <a:off x="9079442" y="9505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36</xdr:row>
      <xdr:rowOff>2009775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41EB6374-581F-4E81-B22C-E0868B82F3B0}"/>
            </a:ext>
          </a:extLst>
        </xdr:cNvPr>
        <xdr:cNvSpPr txBox="1"/>
      </xdr:nvSpPr>
      <xdr:spPr>
        <a:xfrm>
          <a:off x="9222317" y="9503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37</xdr:row>
      <xdr:rowOff>0</xdr:rowOff>
    </xdr:from>
    <xdr:ext cx="1266825" cy="45720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E7B65D3C-CF95-4ED6-9D80-1F80E432724F}"/>
            </a:ext>
          </a:extLst>
        </xdr:cNvPr>
        <xdr:cNvSpPr txBox="1"/>
      </xdr:nvSpPr>
      <xdr:spPr>
        <a:xfrm>
          <a:off x="9079442" y="9911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37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EB79CF2-F3F2-4875-A7EA-EDB461718C4F}"/>
            </a:ext>
          </a:extLst>
        </xdr:cNvPr>
        <xdr:cNvSpPr txBox="1"/>
      </xdr:nvSpPr>
      <xdr:spPr>
        <a:xfrm>
          <a:off x="9222317" y="9910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37</xdr:row>
      <xdr:rowOff>0</xdr:rowOff>
    </xdr:from>
    <xdr:ext cx="1266825" cy="45720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B09413B-75CC-40C5-845B-E93841D9BF7B}"/>
            </a:ext>
          </a:extLst>
        </xdr:cNvPr>
        <xdr:cNvSpPr txBox="1"/>
      </xdr:nvSpPr>
      <xdr:spPr>
        <a:xfrm>
          <a:off x="9079442" y="320294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37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F0306F1-AC93-4AF3-BC5C-2CC17677F737}"/>
            </a:ext>
          </a:extLst>
        </xdr:cNvPr>
        <xdr:cNvSpPr txBox="1"/>
      </xdr:nvSpPr>
      <xdr:spPr>
        <a:xfrm>
          <a:off x="9222317" y="32010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37</xdr:row>
      <xdr:rowOff>0</xdr:rowOff>
    </xdr:from>
    <xdr:ext cx="1266825" cy="45720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D7F5443E-8CE0-4CFF-81F9-2D7FECBD0591}"/>
            </a:ext>
          </a:extLst>
        </xdr:cNvPr>
        <xdr:cNvSpPr txBox="1"/>
      </xdr:nvSpPr>
      <xdr:spPr>
        <a:xfrm>
          <a:off x="9079442" y="338328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37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CE4B57F5-C9B8-46B1-8C45-9D468010CCA8}"/>
            </a:ext>
          </a:extLst>
        </xdr:cNvPr>
        <xdr:cNvSpPr txBox="1"/>
      </xdr:nvSpPr>
      <xdr:spPr>
        <a:xfrm>
          <a:off x="9222317" y="338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37</xdr:row>
      <xdr:rowOff>1828800</xdr:rowOff>
    </xdr:from>
    <xdr:ext cx="1266825" cy="45720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EAEB907C-D414-4DED-BDBE-A1843BDAF0FC}"/>
            </a:ext>
          </a:extLst>
        </xdr:cNvPr>
        <xdr:cNvSpPr txBox="1"/>
      </xdr:nvSpPr>
      <xdr:spPr>
        <a:xfrm>
          <a:off x="9079442" y="3790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37</xdr:row>
      <xdr:rowOff>2009775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DEBA2943-D858-444F-B1A1-350EC979DB66}"/>
            </a:ext>
          </a:extLst>
        </xdr:cNvPr>
        <xdr:cNvSpPr txBox="1"/>
      </xdr:nvSpPr>
      <xdr:spPr>
        <a:xfrm>
          <a:off x="9222317" y="3788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39</xdr:row>
      <xdr:rowOff>0</xdr:rowOff>
    </xdr:from>
    <xdr:ext cx="1266825" cy="45720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D14A9495-67BD-44E9-B0CE-FBB16C817AF0}"/>
            </a:ext>
          </a:extLst>
        </xdr:cNvPr>
        <xdr:cNvSpPr txBox="1"/>
      </xdr:nvSpPr>
      <xdr:spPr>
        <a:xfrm>
          <a:off x="9079442" y="4196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39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E72C68F6-39A9-4BC3-97BB-3F12E0607CA3}"/>
            </a:ext>
          </a:extLst>
        </xdr:cNvPr>
        <xdr:cNvSpPr txBox="1"/>
      </xdr:nvSpPr>
      <xdr:spPr>
        <a:xfrm>
          <a:off x="9222317" y="4195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39</xdr:row>
      <xdr:rowOff>0</xdr:rowOff>
    </xdr:from>
    <xdr:ext cx="1266825" cy="45720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63A87BF4-D6F4-4D1A-83A5-CDBE254675B7}"/>
            </a:ext>
          </a:extLst>
        </xdr:cNvPr>
        <xdr:cNvSpPr txBox="1"/>
      </xdr:nvSpPr>
      <xdr:spPr>
        <a:xfrm>
          <a:off x="9079442" y="4679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39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C23EE70-CFBE-4CCB-BC0E-74F9A64F350F}"/>
            </a:ext>
          </a:extLst>
        </xdr:cNvPr>
        <xdr:cNvSpPr txBox="1"/>
      </xdr:nvSpPr>
      <xdr:spPr>
        <a:xfrm>
          <a:off x="9222317" y="4677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39</xdr:row>
      <xdr:rowOff>1828800</xdr:rowOff>
    </xdr:from>
    <xdr:ext cx="1266825" cy="45720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50CBCF7C-F462-4A13-A58A-F984DC50D921}"/>
            </a:ext>
          </a:extLst>
        </xdr:cNvPr>
        <xdr:cNvSpPr txBox="1"/>
      </xdr:nvSpPr>
      <xdr:spPr>
        <a:xfrm>
          <a:off x="9079442" y="5291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39</xdr:row>
      <xdr:rowOff>2009775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94AB565-DB47-40B2-A580-2A484EE94CA3}"/>
            </a:ext>
          </a:extLst>
        </xdr:cNvPr>
        <xdr:cNvSpPr txBox="1"/>
      </xdr:nvSpPr>
      <xdr:spPr>
        <a:xfrm>
          <a:off x="9222317" y="52897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7FD6FCD3-EA04-4A94-A7A2-0A67C0F3AA9F}"/>
            </a:ext>
          </a:extLst>
        </xdr:cNvPr>
        <xdr:cNvSpPr txBox="1"/>
      </xdr:nvSpPr>
      <xdr:spPr>
        <a:xfrm>
          <a:off x="9079442" y="5695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9A211E7-D877-4ED2-89EC-3AEDEED42773}"/>
            </a:ext>
          </a:extLst>
        </xdr:cNvPr>
        <xdr:cNvSpPr txBox="1"/>
      </xdr:nvSpPr>
      <xdr:spPr>
        <a:xfrm>
          <a:off x="9222317" y="5693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23EAB83C-E8DD-443B-8309-85A13ED1A7F7}"/>
            </a:ext>
          </a:extLst>
        </xdr:cNvPr>
        <xdr:cNvSpPr txBox="1"/>
      </xdr:nvSpPr>
      <xdr:spPr>
        <a:xfrm>
          <a:off x="9079442" y="6101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CECBDABC-D8DE-440F-88DB-B12E34E6CE58}"/>
            </a:ext>
          </a:extLst>
        </xdr:cNvPr>
        <xdr:cNvSpPr txBox="1"/>
      </xdr:nvSpPr>
      <xdr:spPr>
        <a:xfrm>
          <a:off x="9222317" y="6100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6E8F87C-21EF-4705-B9D1-2044C9CDD95A}"/>
            </a:ext>
          </a:extLst>
        </xdr:cNvPr>
        <xdr:cNvSpPr txBox="1"/>
      </xdr:nvSpPr>
      <xdr:spPr>
        <a:xfrm>
          <a:off x="9079442" y="6584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649066C4-9D6E-4667-9158-714860469844}"/>
            </a:ext>
          </a:extLst>
        </xdr:cNvPr>
        <xdr:cNvSpPr txBox="1"/>
      </xdr:nvSpPr>
      <xdr:spPr>
        <a:xfrm>
          <a:off x="9222317" y="6582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BD1F8A2C-EAAA-4F5F-A76F-5F50437A3A5C}"/>
            </a:ext>
          </a:extLst>
        </xdr:cNvPr>
        <xdr:cNvSpPr txBox="1"/>
      </xdr:nvSpPr>
      <xdr:spPr>
        <a:xfrm>
          <a:off x="9079442" y="719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6A379D8E-B25E-4BEE-8F6D-6B4A9C69250A}"/>
            </a:ext>
          </a:extLst>
        </xdr:cNvPr>
        <xdr:cNvSpPr txBox="1"/>
      </xdr:nvSpPr>
      <xdr:spPr>
        <a:xfrm>
          <a:off x="9222317" y="71947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3204CFDF-54C4-4C52-830D-908A1A9667DC}"/>
            </a:ext>
          </a:extLst>
        </xdr:cNvPr>
        <xdr:cNvSpPr txBox="1"/>
      </xdr:nvSpPr>
      <xdr:spPr>
        <a:xfrm>
          <a:off x="9079442" y="7600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2D85AFA-B094-4FC3-8AB8-B7866FC9231E}"/>
            </a:ext>
          </a:extLst>
        </xdr:cNvPr>
        <xdr:cNvSpPr txBox="1"/>
      </xdr:nvSpPr>
      <xdr:spPr>
        <a:xfrm>
          <a:off x="9222317" y="7598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3B80F53-4AEE-499B-AE6B-F01ED8F654C3}"/>
            </a:ext>
          </a:extLst>
        </xdr:cNvPr>
        <xdr:cNvSpPr txBox="1"/>
      </xdr:nvSpPr>
      <xdr:spPr>
        <a:xfrm>
          <a:off x="9079442" y="8006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A8BFFCCA-2DB3-4AB4-A3AF-05680BFABF17}"/>
            </a:ext>
          </a:extLst>
        </xdr:cNvPr>
        <xdr:cNvSpPr txBox="1"/>
      </xdr:nvSpPr>
      <xdr:spPr>
        <a:xfrm>
          <a:off x="9222317" y="8005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118D982E-F801-4D08-B215-8522B44DFCA7}"/>
            </a:ext>
          </a:extLst>
        </xdr:cNvPr>
        <xdr:cNvSpPr txBox="1"/>
      </xdr:nvSpPr>
      <xdr:spPr>
        <a:xfrm>
          <a:off x="9079442" y="8489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8C674B27-D144-4F9D-85E3-990C16ECA4A0}"/>
            </a:ext>
          </a:extLst>
        </xdr:cNvPr>
        <xdr:cNvSpPr txBox="1"/>
      </xdr:nvSpPr>
      <xdr:spPr>
        <a:xfrm>
          <a:off x="9222317" y="8487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35CC17F-B313-4811-8DEA-928E53A8074C}"/>
            </a:ext>
          </a:extLst>
        </xdr:cNvPr>
        <xdr:cNvSpPr txBox="1"/>
      </xdr:nvSpPr>
      <xdr:spPr>
        <a:xfrm>
          <a:off x="9079442" y="9101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7CF513C-B03F-4B79-8708-E5267B9A3554}"/>
            </a:ext>
          </a:extLst>
        </xdr:cNvPr>
        <xdr:cNvSpPr txBox="1"/>
      </xdr:nvSpPr>
      <xdr:spPr>
        <a:xfrm>
          <a:off x="9222317" y="90997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322C3ECD-C779-4794-A8C9-3D2F0546FEE9}"/>
            </a:ext>
          </a:extLst>
        </xdr:cNvPr>
        <xdr:cNvSpPr txBox="1"/>
      </xdr:nvSpPr>
      <xdr:spPr>
        <a:xfrm>
          <a:off x="9079442" y="9505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DCF3175C-6C3B-40AB-BB86-DAFE91700900}"/>
            </a:ext>
          </a:extLst>
        </xdr:cNvPr>
        <xdr:cNvSpPr txBox="1"/>
      </xdr:nvSpPr>
      <xdr:spPr>
        <a:xfrm>
          <a:off x="9222317" y="9503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4CC2FF2F-0203-4E46-880F-AF179B5087D1}"/>
            </a:ext>
          </a:extLst>
        </xdr:cNvPr>
        <xdr:cNvSpPr txBox="1"/>
      </xdr:nvSpPr>
      <xdr:spPr>
        <a:xfrm>
          <a:off x="9079442" y="9911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EA2C6C2-1966-4680-8334-50AF4D334516}"/>
            </a:ext>
          </a:extLst>
        </xdr:cNvPr>
        <xdr:cNvSpPr txBox="1"/>
      </xdr:nvSpPr>
      <xdr:spPr>
        <a:xfrm>
          <a:off x="9222317" y="9910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15DC9DC4-3C12-4E06-8DE9-52025AAFFA63}"/>
            </a:ext>
          </a:extLst>
        </xdr:cNvPr>
        <xdr:cNvSpPr txBox="1"/>
      </xdr:nvSpPr>
      <xdr:spPr>
        <a:xfrm>
          <a:off x="9079442" y="10394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096FC53-9E42-4578-8165-DBD8B561CBFB}"/>
            </a:ext>
          </a:extLst>
        </xdr:cNvPr>
        <xdr:cNvSpPr txBox="1"/>
      </xdr:nvSpPr>
      <xdr:spPr>
        <a:xfrm>
          <a:off x="9222317" y="10392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27BA6C5E-9B34-4A7E-AB12-04DC7FEFCCB3}"/>
            </a:ext>
          </a:extLst>
        </xdr:cNvPr>
        <xdr:cNvSpPr txBox="1"/>
      </xdr:nvSpPr>
      <xdr:spPr>
        <a:xfrm>
          <a:off x="9079442" y="1100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6579C7BE-35D2-4C3E-8A95-699546B25FE7}"/>
            </a:ext>
          </a:extLst>
        </xdr:cNvPr>
        <xdr:cNvSpPr txBox="1"/>
      </xdr:nvSpPr>
      <xdr:spPr>
        <a:xfrm>
          <a:off x="9222317" y="110047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D4629E80-CC63-4484-862A-328B620907BF}"/>
            </a:ext>
          </a:extLst>
        </xdr:cNvPr>
        <xdr:cNvSpPr txBox="1"/>
      </xdr:nvSpPr>
      <xdr:spPr>
        <a:xfrm>
          <a:off x="9079442" y="11410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E132F787-2543-4626-85F6-E64712AD8C13}"/>
            </a:ext>
          </a:extLst>
        </xdr:cNvPr>
        <xdr:cNvSpPr txBox="1"/>
      </xdr:nvSpPr>
      <xdr:spPr>
        <a:xfrm>
          <a:off x="9222317" y="11408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B7EED9CF-88F8-456B-812A-BED553181333}"/>
            </a:ext>
          </a:extLst>
        </xdr:cNvPr>
        <xdr:cNvSpPr txBox="1"/>
      </xdr:nvSpPr>
      <xdr:spPr>
        <a:xfrm>
          <a:off x="9079442" y="11816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B86920C4-3492-4089-8877-F6ACCAD54A71}"/>
            </a:ext>
          </a:extLst>
        </xdr:cNvPr>
        <xdr:cNvSpPr txBox="1"/>
      </xdr:nvSpPr>
      <xdr:spPr>
        <a:xfrm>
          <a:off x="9222317" y="11815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B09DF3B-4F87-4794-B0A6-8274FC400C5F}"/>
            </a:ext>
          </a:extLst>
        </xdr:cNvPr>
        <xdr:cNvSpPr txBox="1"/>
      </xdr:nvSpPr>
      <xdr:spPr>
        <a:xfrm>
          <a:off x="9079442" y="12299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BB92855-51F5-4FE2-B52B-1FE6AEC4DD17}"/>
            </a:ext>
          </a:extLst>
        </xdr:cNvPr>
        <xdr:cNvSpPr txBox="1"/>
      </xdr:nvSpPr>
      <xdr:spPr>
        <a:xfrm>
          <a:off x="9222317" y="12297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67997CD7-BFC8-49FF-90EE-19A60D9117A9}"/>
            </a:ext>
          </a:extLst>
        </xdr:cNvPr>
        <xdr:cNvSpPr txBox="1"/>
      </xdr:nvSpPr>
      <xdr:spPr>
        <a:xfrm>
          <a:off x="9079442" y="12911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B68A1086-2B27-4BBF-833C-1E33A9C47A3A}"/>
            </a:ext>
          </a:extLst>
        </xdr:cNvPr>
        <xdr:cNvSpPr txBox="1"/>
      </xdr:nvSpPr>
      <xdr:spPr>
        <a:xfrm>
          <a:off x="9222317" y="129097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2E3F4F41-B8E0-401C-BEB5-E5FBEFC091EB}"/>
            </a:ext>
          </a:extLst>
        </xdr:cNvPr>
        <xdr:cNvSpPr txBox="1"/>
      </xdr:nvSpPr>
      <xdr:spPr>
        <a:xfrm>
          <a:off x="9079442" y="13315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54812344-1B87-4F1B-97F6-97387D90D059}"/>
            </a:ext>
          </a:extLst>
        </xdr:cNvPr>
        <xdr:cNvSpPr txBox="1"/>
      </xdr:nvSpPr>
      <xdr:spPr>
        <a:xfrm>
          <a:off x="9222317" y="13313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37EFF1CB-52D5-461B-9D23-C17777CECB09}"/>
            </a:ext>
          </a:extLst>
        </xdr:cNvPr>
        <xdr:cNvSpPr txBox="1"/>
      </xdr:nvSpPr>
      <xdr:spPr>
        <a:xfrm>
          <a:off x="9079442" y="13721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35FB51C0-EEE0-4FF8-AAD3-DF2117B8E70E}"/>
            </a:ext>
          </a:extLst>
        </xdr:cNvPr>
        <xdr:cNvSpPr txBox="1"/>
      </xdr:nvSpPr>
      <xdr:spPr>
        <a:xfrm>
          <a:off x="9222317" y="13720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B4196BAC-9AB7-48A6-AE2C-2F6B2E578D26}"/>
            </a:ext>
          </a:extLst>
        </xdr:cNvPr>
        <xdr:cNvSpPr txBox="1"/>
      </xdr:nvSpPr>
      <xdr:spPr>
        <a:xfrm>
          <a:off x="9079442" y="14204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C5620FED-D9AE-46C0-A55A-410B31080CC0}"/>
            </a:ext>
          </a:extLst>
        </xdr:cNvPr>
        <xdr:cNvSpPr txBox="1"/>
      </xdr:nvSpPr>
      <xdr:spPr>
        <a:xfrm>
          <a:off x="9222317" y="14202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F39630D3-B5D0-4BC5-BCA7-540704BE59C1}"/>
            </a:ext>
          </a:extLst>
        </xdr:cNvPr>
        <xdr:cNvSpPr txBox="1"/>
      </xdr:nvSpPr>
      <xdr:spPr>
        <a:xfrm>
          <a:off x="9079442" y="1481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734AE5AE-C245-4211-B068-4575978CA321}"/>
            </a:ext>
          </a:extLst>
        </xdr:cNvPr>
        <xdr:cNvSpPr txBox="1"/>
      </xdr:nvSpPr>
      <xdr:spPr>
        <a:xfrm>
          <a:off x="9222317" y="148147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94778C7E-21EE-4599-ACAC-982875F6C52B}"/>
            </a:ext>
          </a:extLst>
        </xdr:cNvPr>
        <xdr:cNvSpPr txBox="1"/>
      </xdr:nvSpPr>
      <xdr:spPr>
        <a:xfrm>
          <a:off x="9079442" y="15220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D3BB763-105E-42C3-8244-61E8DF6D56E7}"/>
            </a:ext>
          </a:extLst>
        </xdr:cNvPr>
        <xdr:cNvSpPr txBox="1"/>
      </xdr:nvSpPr>
      <xdr:spPr>
        <a:xfrm>
          <a:off x="9222317" y="15218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79B0D1E9-BF75-461C-9112-A3A8128D95FA}"/>
            </a:ext>
          </a:extLst>
        </xdr:cNvPr>
        <xdr:cNvSpPr txBox="1"/>
      </xdr:nvSpPr>
      <xdr:spPr>
        <a:xfrm>
          <a:off x="9079442" y="15626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E167D1AC-440D-4F4F-8664-D754EE6372A3}"/>
            </a:ext>
          </a:extLst>
        </xdr:cNvPr>
        <xdr:cNvSpPr txBox="1"/>
      </xdr:nvSpPr>
      <xdr:spPr>
        <a:xfrm>
          <a:off x="9222317" y="15625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2C581556-43CE-4D91-8E3A-E83A11739466}"/>
            </a:ext>
          </a:extLst>
        </xdr:cNvPr>
        <xdr:cNvSpPr txBox="1"/>
      </xdr:nvSpPr>
      <xdr:spPr>
        <a:xfrm>
          <a:off x="9079442" y="16109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964BA1A3-D10E-46A7-91D0-FC65FDB55AC2}"/>
            </a:ext>
          </a:extLst>
        </xdr:cNvPr>
        <xdr:cNvSpPr txBox="1"/>
      </xdr:nvSpPr>
      <xdr:spPr>
        <a:xfrm>
          <a:off x="9222317" y="16107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796894C-3A81-441C-9F5A-806743E088B6}"/>
            </a:ext>
          </a:extLst>
        </xdr:cNvPr>
        <xdr:cNvSpPr txBox="1"/>
      </xdr:nvSpPr>
      <xdr:spPr>
        <a:xfrm>
          <a:off x="9079442" y="16721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952477B2-BC9E-42A7-9BF1-C9663BC3A54D}"/>
            </a:ext>
          </a:extLst>
        </xdr:cNvPr>
        <xdr:cNvSpPr txBox="1"/>
      </xdr:nvSpPr>
      <xdr:spPr>
        <a:xfrm>
          <a:off x="9222317" y="167197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55B14671-D07F-4058-81E2-4837A7AA92F1}"/>
            </a:ext>
          </a:extLst>
        </xdr:cNvPr>
        <xdr:cNvSpPr txBox="1"/>
      </xdr:nvSpPr>
      <xdr:spPr>
        <a:xfrm>
          <a:off x="9079442" y="171255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54C1EECE-809F-40DF-BBB8-55407B18C9B1}"/>
            </a:ext>
          </a:extLst>
        </xdr:cNvPr>
        <xdr:cNvSpPr txBox="1"/>
      </xdr:nvSpPr>
      <xdr:spPr>
        <a:xfrm>
          <a:off x="9222317" y="171236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40</xdr:row>
      <xdr:rowOff>0</xdr:rowOff>
    </xdr:from>
    <xdr:ext cx="1266825" cy="45720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283A4D68-35F1-4B2A-9A53-69E1A728CB7E}"/>
            </a:ext>
          </a:extLst>
        </xdr:cNvPr>
        <xdr:cNvSpPr txBox="1"/>
      </xdr:nvSpPr>
      <xdr:spPr>
        <a:xfrm>
          <a:off x="9079442" y="175319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40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68E2BEC7-6E23-4406-91CD-AA474029A2A0}"/>
            </a:ext>
          </a:extLst>
        </xdr:cNvPr>
        <xdr:cNvSpPr txBox="1"/>
      </xdr:nvSpPr>
      <xdr:spPr>
        <a:xfrm>
          <a:off x="9222317" y="175300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1828800</xdr:rowOff>
    </xdr:from>
    <xdr:ext cx="1266825" cy="4572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23A712A-1138-4232-8F7E-82DF9B31D027}"/>
            </a:ext>
          </a:extLst>
        </xdr:cNvPr>
        <xdr:cNvSpPr txBox="1"/>
      </xdr:nvSpPr>
      <xdr:spPr>
        <a:xfrm>
          <a:off x="9873192" y="112987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2009775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902DDDB-3AC1-468D-B6E8-F749873A7E68}"/>
            </a:ext>
          </a:extLst>
        </xdr:cNvPr>
        <xdr:cNvSpPr txBox="1"/>
      </xdr:nvSpPr>
      <xdr:spPr>
        <a:xfrm>
          <a:off x="10016067" y="112987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1828800</xdr:rowOff>
    </xdr:from>
    <xdr:ext cx="1266825" cy="4572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560E847-AD9B-42EC-9192-AAACDBBBC3E7}"/>
            </a:ext>
          </a:extLst>
        </xdr:cNvPr>
        <xdr:cNvSpPr txBox="1"/>
      </xdr:nvSpPr>
      <xdr:spPr>
        <a:xfrm>
          <a:off x="9873192" y="117030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2009775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A14BF1F-44A6-4682-8524-B4E88AAA1F4F}"/>
            </a:ext>
          </a:extLst>
        </xdr:cNvPr>
        <xdr:cNvSpPr txBox="1"/>
      </xdr:nvSpPr>
      <xdr:spPr>
        <a:xfrm>
          <a:off x="10016067" y="1170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91E2E47-138E-4127-819E-13A14CC7DFD9}"/>
            </a:ext>
          </a:extLst>
        </xdr:cNvPr>
        <xdr:cNvSpPr txBox="1"/>
      </xdr:nvSpPr>
      <xdr:spPr>
        <a:xfrm>
          <a:off x="9873192" y="1170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9EF6FE8-6FEC-4BAF-B34D-816AAB5E290D}"/>
            </a:ext>
          </a:extLst>
        </xdr:cNvPr>
        <xdr:cNvSpPr txBox="1"/>
      </xdr:nvSpPr>
      <xdr:spPr>
        <a:xfrm>
          <a:off x="10016067" y="1170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9007797-D546-4DBC-BBC3-763ABB2C3981}"/>
            </a:ext>
          </a:extLst>
        </xdr:cNvPr>
        <xdr:cNvSpPr txBox="1"/>
      </xdr:nvSpPr>
      <xdr:spPr>
        <a:xfrm>
          <a:off x="9873192" y="1170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609E2EAA-6F25-4122-9F40-743262703167}"/>
            </a:ext>
          </a:extLst>
        </xdr:cNvPr>
        <xdr:cNvSpPr txBox="1"/>
      </xdr:nvSpPr>
      <xdr:spPr>
        <a:xfrm>
          <a:off x="10016067" y="1170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5E33CF3-5DB6-470A-9871-24DB1FCBB721}"/>
            </a:ext>
          </a:extLst>
        </xdr:cNvPr>
        <xdr:cNvSpPr txBox="1"/>
      </xdr:nvSpPr>
      <xdr:spPr>
        <a:xfrm>
          <a:off x="9873192" y="1170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5E42FF63-9AC9-45A4-904A-A0DE0D9F2A85}"/>
            </a:ext>
          </a:extLst>
        </xdr:cNvPr>
        <xdr:cNvSpPr txBox="1"/>
      </xdr:nvSpPr>
      <xdr:spPr>
        <a:xfrm>
          <a:off x="10016067" y="1170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D02BB7ED-A4F7-4EE5-8909-61D5D6ECC60D}"/>
            </a:ext>
          </a:extLst>
        </xdr:cNvPr>
        <xdr:cNvSpPr txBox="1"/>
      </xdr:nvSpPr>
      <xdr:spPr>
        <a:xfrm>
          <a:off x="9873192" y="1170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F0CB739C-FAEC-469E-BFBC-2D2BB33695F3}"/>
            </a:ext>
          </a:extLst>
        </xdr:cNvPr>
        <xdr:cNvSpPr txBox="1"/>
      </xdr:nvSpPr>
      <xdr:spPr>
        <a:xfrm>
          <a:off x="10016067" y="1170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7EC71077-C035-4EAA-9E5E-84E52EC40981}"/>
            </a:ext>
          </a:extLst>
        </xdr:cNvPr>
        <xdr:cNvSpPr txBox="1"/>
      </xdr:nvSpPr>
      <xdr:spPr>
        <a:xfrm>
          <a:off x="9873192" y="1170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52948E1B-D573-49F0-8311-90DAFC821AEE}"/>
            </a:ext>
          </a:extLst>
        </xdr:cNvPr>
        <xdr:cNvSpPr txBox="1"/>
      </xdr:nvSpPr>
      <xdr:spPr>
        <a:xfrm>
          <a:off x="10016067" y="1170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90D45BC3-5A01-4769-8328-37C487374078}"/>
            </a:ext>
          </a:extLst>
        </xdr:cNvPr>
        <xdr:cNvSpPr txBox="1"/>
      </xdr:nvSpPr>
      <xdr:spPr>
        <a:xfrm>
          <a:off x="9873192" y="1170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6E540EE2-0014-4CE2-9A02-38499F59A2A4}"/>
            </a:ext>
          </a:extLst>
        </xdr:cNvPr>
        <xdr:cNvSpPr txBox="1"/>
      </xdr:nvSpPr>
      <xdr:spPr>
        <a:xfrm>
          <a:off x="10016067" y="1170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1828800</xdr:rowOff>
    </xdr:from>
    <xdr:ext cx="1266825" cy="45720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8BD28B3-E8F4-4FC8-B895-B8388E2BF239}"/>
            </a:ext>
          </a:extLst>
        </xdr:cNvPr>
        <xdr:cNvSpPr txBox="1"/>
      </xdr:nvSpPr>
      <xdr:spPr>
        <a:xfrm>
          <a:off x="9873192" y="123147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2009775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8BC5D4C2-EEBB-49D4-B9E7-DC2740DFFFBE}"/>
            </a:ext>
          </a:extLst>
        </xdr:cNvPr>
        <xdr:cNvSpPr txBox="1"/>
      </xdr:nvSpPr>
      <xdr:spPr>
        <a:xfrm>
          <a:off x="10016067" y="123147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467941D7-3079-4046-A0E4-60F79A43E5D2}"/>
            </a:ext>
          </a:extLst>
        </xdr:cNvPr>
        <xdr:cNvSpPr txBox="1"/>
      </xdr:nvSpPr>
      <xdr:spPr>
        <a:xfrm>
          <a:off x="9873192" y="12319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46A09E6-6543-4586-8FA2-1E9B01C37810}"/>
            </a:ext>
          </a:extLst>
        </xdr:cNvPr>
        <xdr:cNvSpPr txBox="1"/>
      </xdr:nvSpPr>
      <xdr:spPr>
        <a:xfrm>
          <a:off x="10016067" y="123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73DC572A-2135-486D-8FA3-582983C3C4F4}"/>
            </a:ext>
          </a:extLst>
        </xdr:cNvPr>
        <xdr:cNvSpPr txBox="1"/>
      </xdr:nvSpPr>
      <xdr:spPr>
        <a:xfrm>
          <a:off x="9873192" y="12319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EFD06F03-F0F2-49EB-96CE-BE98B0DF7D64}"/>
            </a:ext>
          </a:extLst>
        </xdr:cNvPr>
        <xdr:cNvSpPr txBox="1"/>
      </xdr:nvSpPr>
      <xdr:spPr>
        <a:xfrm>
          <a:off x="10016067" y="123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1828800</xdr:rowOff>
    </xdr:from>
    <xdr:ext cx="1266825" cy="45720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B13FD6B7-80B6-4F71-9697-E58DB6DBDDAA}"/>
            </a:ext>
          </a:extLst>
        </xdr:cNvPr>
        <xdr:cNvSpPr txBox="1"/>
      </xdr:nvSpPr>
      <xdr:spPr>
        <a:xfrm>
          <a:off x="9873192" y="12795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2009775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FB19A392-FF56-4D65-AC95-DCB09A0BC242}"/>
            </a:ext>
          </a:extLst>
        </xdr:cNvPr>
        <xdr:cNvSpPr txBox="1"/>
      </xdr:nvSpPr>
      <xdr:spPr>
        <a:xfrm>
          <a:off x="10016067" y="127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1828800</xdr:rowOff>
    </xdr:from>
    <xdr:ext cx="1266825" cy="45720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729E6C4A-9A43-4A72-96D3-3A396D2BFCFC}"/>
            </a:ext>
          </a:extLst>
        </xdr:cNvPr>
        <xdr:cNvSpPr txBox="1"/>
      </xdr:nvSpPr>
      <xdr:spPr>
        <a:xfrm>
          <a:off x="9873192" y="134048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2009775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4769B02-0EAA-4317-85FD-D164FD278C2A}"/>
            </a:ext>
          </a:extLst>
        </xdr:cNvPr>
        <xdr:cNvSpPr txBox="1"/>
      </xdr:nvSpPr>
      <xdr:spPr>
        <a:xfrm>
          <a:off x="10016067" y="134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1828800</xdr:rowOff>
    </xdr:from>
    <xdr:ext cx="1266825" cy="45720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4F2C02DA-1E5A-4DF6-86A9-A786DDA3A9E8}"/>
            </a:ext>
          </a:extLst>
        </xdr:cNvPr>
        <xdr:cNvSpPr txBox="1"/>
      </xdr:nvSpPr>
      <xdr:spPr>
        <a:xfrm>
          <a:off x="9873192" y="138091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2009775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7206884-B587-4D82-8C02-90BB08383F56}"/>
            </a:ext>
          </a:extLst>
        </xdr:cNvPr>
        <xdr:cNvSpPr txBox="1"/>
      </xdr:nvSpPr>
      <xdr:spPr>
        <a:xfrm>
          <a:off x="10016067" y="138091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CE2EEDC2-F10C-474C-B2CE-44502F07D8DD}"/>
            </a:ext>
          </a:extLst>
        </xdr:cNvPr>
        <xdr:cNvSpPr txBox="1"/>
      </xdr:nvSpPr>
      <xdr:spPr>
        <a:xfrm>
          <a:off x="9873192" y="13811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2E33651B-C298-4ACC-9253-7EE0718AAF31}"/>
            </a:ext>
          </a:extLst>
        </xdr:cNvPr>
        <xdr:cNvSpPr txBox="1"/>
      </xdr:nvSpPr>
      <xdr:spPr>
        <a:xfrm>
          <a:off x="10016067" y="138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173232A8-44D3-4BF0-9635-48FB58B939E7}"/>
            </a:ext>
          </a:extLst>
        </xdr:cNvPr>
        <xdr:cNvSpPr txBox="1"/>
      </xdr:nvSpPr>
      <xdr:spPr>
        <a:xfrm>
          <a:off x="9873192" y="13811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FD0C5D0A-C62B-4CBC-9ADA-90956566C50F}"/>
            </a:ext>
          </a:extLst>
        </xdr:cNvPr>
        <xdr:cNvSpPr txBox="1"/>
      </xdr:nvSpPr>
      <xdr:spPr>
        <a:xfrm>
          <a:off x="10016067" y="138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2E454D22-936E-493C-A71A-A6CCC6259D68}"/>
            </a:ext>
          </a:extLst>
        </xdr:cNvPr>
        <xdr:cNvSpPr txBox="1"/>
      </xdr:nvSpPr>
      <xdr:spPr>
        <a:xfrm>
          <a:off x="9873192" y="13811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A2FE0219-CF2D-4C03-8934-2FD8D52F7748}"/>
            </a:ext>
          </a:extLst>
        </xdr:cNvPr>
        <xdr:cNvSpPr txBox="1"/>
      </xdr:nvSpPr>
      <xdr:spPr>
        <a:xfrm>
          <a:off x="10016067" y="138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1828800</xdr:rowOff>
    </xdr:from>
    <xdr:ext cx="1266825" cy="45720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DFA34A1-D80A-4F28-884C-AE3299588C7A}"/>
            </a:ext>
          </a:extLst>
        </xdr:cNvPr>
        <xdr:cNvSpPr txBox="1"/>
      </xdr:nvSpPr>
      <xdr:spPr>
        <a:xfrm>
          <a:off x="9873192" y="14211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2009775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AE8FECC6-F577-4B72-8433-06D24F30E25D}"/>
            </a:ext>
          </a:extLst>
        </xdr:cNvPr>
        <xdr:cNvSpPr txBox="1"/>
      </xdr:nvSpPr>
      <xdr:spPr>
        <a:xfrm>
          <a:off x="10016067" y="1421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28</xdr:row>
      <xdr:rowOff>0</xdr:rowOff>
    </xdr:from>
    <xdr:ext cx="1266825" cy="45720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D3EA923F-1997-47CE-A11D-235BEB75BEDA}"/>
            </a:ext>
          </a:extLst>
        </xdr:cNvPr>
        <xdr:cNvSpPr txBox="1"/>
      </xdr:nvSpPr>
      <xdr:spPr>
        <a:xfrm>
          <a:off x="9873192" y="14213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28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7698310-6247-4F49-BE01-BDC9FEE8ABF0}"/>
            </a:ext>
          </a:extLst>
        </xdr:cNvPr>
        <xdr:cNvSpPr txBox="1"/>
      </xdr:nvSpPr>
      <xdr:spPr>
        <a:xfrm>
          <a:off x="10016067" y="14213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28</xdr:row>
      <xdr:rowOff>0</xdr:rowOff>
    </xdr:from>
    <xdr:ext cx="1266825" cy="45720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1CFE2E92-195C-472C-B832-5107BAEABF1A}"/>
            </a:ext>
          </a:extLst>
        </xdr:cNvPr>
        <xdr:cNvSpPr txBox="1"/>
      </xdr:nvSpPr>
      <xdr:spPr>
        <a:xfrm>
          <a:off x="9873192" y="14213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28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4FFB38E-F0CC-46ED-B249-45283ADA5F99}"/>
            </a:ext>
          </a:extLst>
        </xdr:cNvPr>
        <xdr:cNvSpPr txBox="1"/>
      </xdr:nvSpPr>
      <xdr:spPr>
        <a:xfrm>
          <a:off x="10016067" y="14213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28</xdr:row>
      <xdr:rowOff>1828800</xdr:rowOff>
    </xdr:from>
    <xdr:ext cx="1266825" cy="45720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2E57DD63-F3DD-4A8C-9C09-4FC888BF8100}"/>
            </a:ext>
          </a:extLst>
        </xdr:cNvPr>
        <xdr:cNvSpPr txBox="1"/>
      </xdr:nvSpPr>
      <xdr:spPr>
        <a:xfrm>
          <a:off x="9873192" y="148230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28</xdr:row>
      <xdr:rowOff>2009775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073D8DE-9FC8-43AE-AEDA-FFF8C895E71B}"/>
            </a:ext>
          </a:extLst>
        </xdr:cNvPr>
        <xdr:cNvSpPr txBox="1"/>
      </xdr:nvSpPr>
      <xdr:spPr>
        <a:xfrm>
          <a:off x="10016067" y="148230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29</xdr:row>
      <xdr:rowOff>1828800</xdr:rowOff>
    </xdr:from>
    <xdr:ext cx="1266825" cy="45720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3AAAC490-4A06-4D32-A667-95B8D72BABAC}"/>
            </a:ext>
          </a:extLst>
        </xdr:cNvPr>
        <xdr:cNvSpPr txBox="1"/>
      </xdr:nvSpPr>
      <xdr:spPr>
        <a:xfrm>
          <a:off x="9873192" y="15227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29</xdr:row>
      <xdr:rowOff>2009775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9832BEB0-A556-4BCA-9238-D64E1F2A1A79}"/>
            </a:ext>
          </a:extLst>
        </xdr:cNvPr>
        <xdr:cNvSpPr txBox="1"/>
      </xdr:nvSpPr>
      <xdr:spPr>
        <a:xfrm>
          <a:off x="10016067" y="1522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30</xdr:row>
      <xdr:rowOff>0</xdr:rowOff>
    </xdr:from>
    <xdr:ext cx="1266825" cy="45720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E1340BDD-475C-494F-B941-C84AE0BF2F68}"/>
            </a:ext>
          </a:extLst>
        </xdr:cNvPr>
        <xdr:cNvSpPr txBox="1"/>
      </xdr:nvSpPr>
      <xdr:spPr>
        <a:xfrm>
          <a:off x="9873192" y="15229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88E635F7-0138-420E-9358-3897544F0135}"/>
            </a:ext>
          </a:extLst>
        </xdr:cNvPr>
        <xdr:cNvSpPr txBox="1"/>
      </xdr:nvSpPr>
      <xdr:spPr>
        <a:xfrm>
          <a:off x="10016067" y="15229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30</xdr:row>
      <xdr:rowOff>0</xdr:rowOff>
    </xdr:from>
    <xdr:ext cx="1266825" cy="45720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3D798B47-72D5-4E48-96FC-5D32C8BE56B1}"/>
            </a:ext>
          </a:extLst>
        </xdr:cNvPr>
        <xdr:cNvSpPr txBox="1"/>
      </xdr:nvSpPr>
      <xdr:spPr>
        <a:xfrm>
          <a:off x="9873192" y="15229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3960C62D-BFA3-4599-9C53-E18B414CFF87}"/>
            </a:ext>
          </a:extLst>
        </xdr:cNvPr>
        <xdr:cNvSpPr txBox="1"/>
      </xdr:nvSpPr>
      <xdr:spPr>
        <a:xfrm>
          <a:off x="10016067" y="15229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30</xdr:row>
      <xdr:rowOff>0</xdr:rowOff>
    </xdr:from>
    <xdr:ext cx="1266825" cy="45720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86D993A7-8F48-40CE-BC3A-308FDB555F50}"/>
            </a:ext>
          </a:extLst>
        </xdr:cNvPr>
        <xdr:cNvSpPr txBox="1"/>
      </xdr:nvSpPr>
      <xdr:spPr>
        <a:xfrm>
          <a:off x="9873192" y="15229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F668885D-8843-4C33-81F0-93121FBAAC7E}"/>
            </a:ext>
          </a:extLst>
        </xdr:cNvPr>
        <xdr:cNvSpPr txBox="1"/>
      </xdr:nvSpPr>
      <xdr:spPr>
        <a:xfrm>
          <a:off x="10016067" y="15229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30</xdr:row>
      <xdr:rowOff>2009775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C8560B1D-B816-4206-B9BC-B198564E2270}"/>
            </a:ext>
          </a:extLst>
        </xdr:cNvPr>
        <xdr:cNvSpPr txBox="1"/>
      </xdr:nvSpPr>
      <xdr:spPr>
        <a:xfrm>
          <a:off x="10016067" y="15629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D5E8A95E-E33C-425D-8AE7-791E09EBD2F0}"/>
            </a:ext>
          </a:extLst>
        </xdr:cNvPr>
        <xdr:cNvSpPr txBox="1"/>
      </xdr:nvSpPr>
      <xdr:spPr>
        <a:xfrm>
          <a:off x="9873192" y="112987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2009775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3B82620-48A0-4888-BA05-167D23509FA2}"/>
            </a:ext>
          </a:extLst>
        </xdr:cNvPr>
        <xdr:cNvSpPr txBox="1"/>
      </xdr:nvSpPr>
      <xdr:spPr>
        <a:xfrm>
          <a:off x="10016067" y="112987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4BBD5A0B-8510-4D5D-866C-B5551E5A4DA9}"/>
            </a:ext>
          </a:extLst>
        </xdr:cNvPr>
        <xdr:cNvSpPr txBox="1"/>
      </xdr:nvSpPr>
      <xdr:spPr>
        <a:xfrm>
          <a:off x="9873192" y="117030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6CDDC271-A3D6-46B4-95D3-8B509994AEFB}"/>
            </a:ext>
          </a:extLst>
        </xdr:cNvPr>
        <xdr:cNvSpPr txBox="1"/>
      </xdr:nvSpPr>
      <xdr:spPr>
        <a:xfrm>
          <a:off x="10016067" y="1170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B37250AF-6E66-4059-A94D-13648E4EA4EB}"/>
            </a:ext>
          </a:extLst>
        </xdr:cNvPr>
        <xdr:cNvSpPr txBox="1"/>
      </xdr:nvSpPr>
      <xdr:spPr>
        <a:xfrm>
          <a:off x="9873192" y="1170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33E1D080-7B3B-42F8-976B-506D34CC6C97}"/>
            </a:ext>
          </a:extLst>
        </xdr:cNvPr>
        <xdr:cNvSpPr txBox="1"/>
      </xdr:nvSpPr>
      <xdr:spPr>
        <a:xfrm>
          <a:off x="10016067" y="1170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D88F885F-E776-43DE-8522-6D1745F6D84D}"/>
            </a:ext>
          </a:extLst>
        </xdr:cNvPr>
        <xdr:cNvSpPr txBox="1"/>
      </xdr:nvSpPr>
      <xdr:spPr>
        <a:xfrm>
          <a:off x="9873192" y="1170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D3A658B-A8FA-4A2A-B8E2-8B970464C4CE}"/>
            </a:ext>
          </a:extLst>
        </xdr:cNvPr>
        <xdr:cNvSpPr txBox="1"/>
      </xdr:nvSpPr>
      <xdr:spPr>
        <a:xfrm>
          <a:off x="10016067" y="1170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764C289F-7866-44A0-AFC6-4D09848EACAE}"/>
            </a:ext>
          </a:extLst>
        </xdr:cNvPr>
        <xdr:cNvSpPr txBox="1"/>
      </xdr:nvSpPr>
      <xdr:spPr>
        <a:xfrm>
          <a:off x="9873192" y="1170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2A28C8B-C0E2-44DC-B5AA-BF7A18F8D53C}"/>
            </a:ext>
          </a:extLst>
        </xdr:cNvPr>
        <xdr:cNvSpPr txBox="1"/>
      </xdr:nvSpPr>
      <xdr:spPr>
        <a:xfrm>
          <a:off x="10016067" y="1170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1888B1C8-55AD-49A4-93D5-F7C52F6483EB}"/>
            </a:ext>
          </a:extLst>
        </xdr:cNvPr>
        <xdr:cNvSpPr txBox="1"/>
      </xdr:nvSpPr>
      <xdr:spPr>
        <a:xfrm>
          <a:off x="9873192" y="1170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6D2F36C8-BC37-4240-B476-9760683FF376}"/>
            </a:ext>
          </a:extLst>
        </xdr:cNvPr>
        <xdr:cNvSpPr txBox="1"/>
      </xdr:nvSpPr>
      <xdr:spPr>
        <a:xfrm>
          <a:off x="10016067" y="1170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83B6FEB-4A68-4AFF-986D-69CF2449A6C4}"/>
            </a:ext>
          </a:extLst>
        </xdr:cNvPr>
        <xdr:cNvSpPr txBox="1"/>
      </xdr:nvSpPr>
      <xdr:spPr>
        <a:xfrm>
          <a:off x="9873192" y="1170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DA50D8EC-E2E5-41C5-9668-3B07C6D12B54}"/>
            </a:ext>
          </a:extLst>
        </xdr:cNvPr>
        <xdr:cNvSpPr txBox="1"/>
      </xdr:nvSpPr>
      <xdr:spPr>
        <a:xfrm>
          <a:off x="10016067" y="1170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86B9EDED-7FC7-4731-AE30-A4E5DA61EF37}"/>
            </a:ext>
          </a:extLst>
        </xdr:cNvPr>
        <xdr:cNvSpPr txBox="1"/>
      </xdr:nvSpPr>
      <xdr:spPr>
        <a:xfrm>
          <a:off x="9873192" y="1170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ABFC9749-C0EB-45B2-95DD-EC44D40280F1}"/>
            </a:ext>
          </a:extLst>
        </xdr:cNvPr>
        <xdr:cNvSpPr txBox="1"/>
      </xdr:nvSpPr>
      <xdr:spPr>
        <a:xfrm>
          <a:off x="10016067" y="1170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1828800</xdr:rowOff>
    </xdr:from>
    <xdr:ext cx="1266825" cy="45720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AADBD008-2988-4351-8FBA-7F717A814ACD}"/>
            </a:ext>
          </a:extLst>
        </xdr:cNvPr>
        <xdr:cNvSpPr txBox="1"/>
      </xdr:nvSpPr>
      <xdr:spPr>
        <a:xfrm>
          <a:off x="9873192" y="123147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2009775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DF524311-6A42-48AE-9403-B6C2D7267104}"/>
            </a:ext>
          </a:extLst>
        </xdr:cNvPr>
        <xdr:cNvSpPr txBox="1"/>
      </xdr:nvSpPr>
      <xdr:spPr>
        <a:xfrm>
          <a:off x="10016067" y="123147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E9AE4FC0-01AB-4CE2-ABEB-93BA815EE264}"/>
            </a:ext>
          </a:extLst>
        </xdr:cNvPr>
        <xdr:cNvSpPr txBox="1"/>
      </xdr:nvSpPr>
      <xdr:spPr>
        <a:xfrm>
          <a:off x="9873192" y="12319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036A6CA-7866-477A-9C4D-08A02A0C4410}"/>
            </a:ext>
          </a:extLst>
        </xdr:cNvPr>
        <xdr:cNvSpPr txBox="1"/>
      </xdr:nvSpPr>
      <xdr:spPr>
        <a:xfrm>
          <a:off x="10016067" y="123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1F778BE7-DFC3-495B-A759-56920148011E}"/>
            </a:ext>
          </a:extLst>
        </xdr:cNvPr>
        <xdr:cNvSpPr txBox="1"/>
      </xdr:nvSpPr>
      <xdr:spPr>
        <a:xfrm>
          <a:off x="9873192" y="12319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6D0462A-7CB1-4AF4-9923-D4EA714AE444}"/>
            </a:ext>
          </a:extLst>
        </xdr:cNvPr>
        <xdr:cNvSpPr txBox="1"/>
      </xdr:nvSpPr>
      <xdr:spPr>
        <a:xfrm>
          <a:off x="10016067" y="123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1828800</xdr:rowOff>
    </xdr:from>
    <xdr:ext cx="1266825" cy="45720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3BE0059-3B97-4436-80EB-C57011D5192C}"/>
            </a:ext>
          </a:extLst>
        </xdr:cNvPr>
        <xdr:cNvSpPr txBox="1"/>
      </xdr:nvSpPr>
      <xdr:spPr>
        <a:xfrm>
          <a:off x="9873192" y="12795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2009775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A6FF4615-A688-4914-BE0A-D15470EFCF3B}"/>
            </a:ext>
          </a:extLst>
        </xdr:cNvPr>
        <xdr:cNvSpPr txBox="1"/>
      </xdr:nvSpPr>
      <xdr:spPr>
        <a:xfrm>
          <a:off x="10016067" y="127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1828800</xdr:rowOff>
    </xdr:from>
    <xdr:ext cx="1266825" cy="45720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75FC8619-55B7-4E06-A0E0-4D89E6DBAACA}"/>
            </a:ext>
          </a:extLst>
        </xdr:cNvPr>
        <xdr:cNvSpPr txBox="1"/>
      </xdr:nvSpPr>
      <xdr:spPr>
        <a:xfrm>
          <a:off x="9873192" y="134048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2009775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A18B383-BC47-4C9B-A324-A76FE941E4B0}"/>
            </a:ext>
          </a:extLst>
        </xdr:cNvPr>
        <xdr:cNvSpPr txBox="1"/>
      </xdr:nvSpPr>
      <xdr:spPr>
        <a:xfrm>
          <a:off x="10016067" y="134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1828800</xdr:rowOff>
    </xdr:from>
    <xdr:ext cx="1266825" cy="45720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9F3A497-DE28-4E15-821A-87883077CC35}"/>
            </a:ext>
          </a:extLst>
        </xdr:cNvPr>
        <xdr:cNvSpPr txBox="1"/>
      </xdr:nvSpPr>
      <xdr:spPr>
        <a:xfrm>
          <a:off x="9873192" y="138091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2009775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6BCE4D20-E34C-45D4-9C9D-3A1DBAA119DC}"/>
            </a:ext>
          </a:extLst>
        </xdr:cNvPr>
        <xdr:cNvSpPr txBox="1"/>
      </xdr:nvSpPr>
      <xdr:spPr>
        <a:xfrm>
          <a:off x="10016067" y="138091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8D0038EA-DB8B-4F4A-8943-B60B36E345FD}"/>
            </a:ext>
          </a:extLst>
        </xdr:cNvPr>
        <xdr:cNvSpPr txBox="1"/>
      </xdr:nvSpPr>
      <xdr:spPr>
        <a:xfrm>
          <a:off x="9873192" y="13811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73FC864-90FE-4B05-BC75-66733B13804F}"/>
            </a:ext>
          </a:extLst>
        </xdr:cNvPr>
        <xdr:cNvSpPr txBox="1"/>
      </xdr:nvSpPr>
      <xdr:spPr>
        <a:xfrm>
          <a:off x="10016067" y="138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DE1E60BD-1510-4AC4-A320-759A38A6D3F1}"/>
            </a:ext>
          </a:extLst>
        </xdr:cNvPr>
        <xdr:cNvSpPr txBox="1"/>
      </xdr:nvSpPr>
      <xdr:spPr>
        <a:xfrm>
          <a:off x="9873192" y="13811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952B5949-15A2-4466-B0C2-2AFD37E147F4}"/>
            </a:ext>
          </a:extLst>
        </xdr:cNvPr>
        <xdr:cNvSpPr txBox="1"/>
      </xdr:nvSpPr>
      <xdr:spPr>
        <a:xfrm>
          <a:off x="10016067" y="138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D4D326BA-D74E-44E1-8D56-F414BBEC75CE}"/>
            </a:ext>
          </a:extLst>
        </xdr:cNvPr>
        <xdr:cNvSpPr txBox="1"/>
      </xdr:nvSpPr>
      <xdr:spPr>
        <a:xfrm>
          <a:off x="9873192" y="13811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71034FD-60A8-4673-9BED-11BCD714F001}"/>
            </a:ext>
          </a:extLst>
        </xdr:cNvPr>
        <xdr:cNvSpPr txBox="1"/>
      </xdr:nvSpPr>
      <xdr:spPr>
        <a:xfrm>
          <a:off x="10016067" y="138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1828800</xdr:rowOff>
    </xdr:from>
    <xdr:ext cx="1266825" cy="45720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AF786599-4031-4921-BBD0-F1F7978DF5F5}"/>
            </a:ext>
          </a:extLst>
        </xdr:cNvPr>
        <xdr:cNvSpPr txBox="1"/>
      </xdr:nvSpPr>
      <xdr:spPr>
        <a:xfrm>
          <a:off x="9873192" y="14211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2009775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28E12D65-3170-4DA1-9272-3D38434BC4A3}"/>
            </a:ext>
          </a:extLst>
        </xdr:cNvPr>
        <xdr:cNvSpPr txBox="1"/>
      </xdr:nvSpPr>
      <xdr:spPr>
        <a:xfrm>
          <a:off x="10016067" y="1421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6C0C1E6-7042-4233-93C7-25941944CD8F}"/>
            </a:ext>
          </a:extLst>
        </xdr:cNvPr>
        <xdr:cNvSpPr txBox="1"/>
      </xdr:nvSpPr>
      <xdr:spPr>
        <a:xfrm>
          <a:off x="9873192" y="14213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EA512F68-54CA-47B4-8199-CB338251B987}"/>
            </a:ext>
          </a:extLst>
        </xdr:cNvPr>
        <xdr:cNvSpPr txBox="1"/>
      </xdr:nvSpPr>
      <xdr:spPr>
        <a:xfrm>
          <a:off x="10016067" y="14213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D1690264-3BD2-482D-AFFC-F8111DC7978D}"/>
            </a:ext>
          </a:extLst>
        </xdr:cNvPr>
        <xdr:cNvSpPr txBox="1"/>
      </xdr:nvSpPr>
      <xdr:spPr>
        <a:xfrm>
          <a:off x="9873192" y="14213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C1807AC4-C6C7-4C31-8C47-996F0F8E6128}"/>
            </a:ext>
          </a:extLst>
        </xdr:cNvPr>
        <xdr:cNvSpPr txBox="1"/>
      </xdr:nvSpPr>
      <xdr:spPr>
        <a:xfrm>
          <a:off x="10016067" y="14213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1828800</xdr:rowOff>
    </xdr:from>
    <xdr:ext cx="1266825" cy="45720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8611FDF9-2EBC-4CE0-8923-C90FF0EEC004}"/>
            </a:ext>
          </a:extLst>
        </xdr:cNvPr>
        <xdr:cNvSpPr txBox="1"/>
      </xdr:nvSpPr>
      <xdr:spPr>
        <a:xfrm>
          <a:off x="9873192" y="148230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2009775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9D93D5B7-FE3E-4F99-BBDC-0533A2BE5778}"/>
            </a:ext>
          </a:extLst>
        </xdr:cNvPr>
        <xdr:cNvSpPr txBox="1"/>
      </xdr:nvSpPr>
      <xdr:spPr>
        <a:xfrm>
          <a:off x="10016067" y="148230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1828800</xdr:rowOff>
    </xdr:from>
    <xdr:ext cx="1266825" cy="45720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FEE0E9ED-E16E-4E70-AA71-F761EFBADE9D}"/>
            </a:ext>
          </a:extLst>
        </xdr:cNvPr>
        <xdr:cNvSpPr txBox="1"/>
      </xdr:nvSpPr>
      <xdr:spPr>
        <a:xfrm>
          <a:off x="9873192" y="15227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2009775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55854045-64D1-4756-87C2-CBB03A87038A}"/>
            </a:ext>
          </a:extLst>
        </xdr:cNvPr>
        <xdr:cNvSpPr txBox="1"/>
      </xdr:nvSpPr>
      <xdr:spPr>
        <a:xfrm>
          <a:off x="10016067" y="1522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202289B3-B9D0-46C7-A026-7EB6496B0B55}"/>
            </a:ext>
          </a:extLst>
        </xdr:cNvPr>
        <xdr:cNvSpPr txBox="1"/>
      </xdr:nvSpPr>
      <xdr:spPr>
        <a:xfrm>
          <a:off x="9873192" y="15229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FF231396-2B29-4B95-B6BD-C62033C87B2A}"/>
            </a:ext>
          </a:extLst>
        </xdr:cNvPr>
        <xdr:cNvSpPr txBox="1"/>
      </xdr:nvSpPr>
      <xdr:spPr>
        <a:xfrm>
          <a:off x="10016067" y="15229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D260FCE5-87E5-4821-B5DE-FAE581B7B5A6}"/>
            </a:ext>
          </a:extLst>
        </xdr:cNvPr>
        <xdr:cNvSpPr txBox="1"/>
      </xdr:nvSpPr>
      <xdr:spPr>
        <a:xfrm>
          <a:off x="9873192" y="15229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54C11109-E8D4-4A83-AB85-3A81B47AC13D}"/>
            </a:ext>
          </a:extLst>
        </xdr:cNvPr>
        <xdr:cNvSpPr txBox="1"/>
      </xdr:nvSpPr>
      <xdr:spPr>
        <a:xfrm>
          <a:off x="10016067" y="15229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9CB113A4-DEB7-4E00-9DEB-933C4D50DE2E}"/>
            </a:ext>
          </a:extLst>
        </xdr:cNvPr>
        <xdr:cNvSpPr txBox="1"/>
      </xdr:nvSpPr>
      <xdr:spPr>
        <a:xfrm>
          <a:off x="9873192" y="15229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9C13865-5843-4871-9469-D40D91332FFC}"/>
            </a:ext>
          </a:extLst>
        </xdr:cNvPr>
        <xdr:cNvSpPr txBox="1"/>
      </xdr:nvSpPr>
      <xdr:spPr>
        <a:xfrm>
          <a:off x="10016067" y="15229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2009775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39A1AD19-5F2E-4A0F-B7AC-449C3FF761D9}"/>
            </a:ext>
          </a:extLst>
        </xdr:cNvPr>
        <xdr:cNvSpPr txBox="1"/>
      </xdr:nvSpPr>
      <xdr:spPr>
        <a:xfrm>
          <a:off x="10016067" y="15629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6</xdr:row>
      <xdr:rowOff>1828800</xdr:rowOff>
    </xdr:from>
    <xdr:ext cx="1266825" cy="45720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DFAF4890-FC85-4E77-9FE0-117D5DFDD635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6</xdr:row>
      <xdr:rowOff>2009775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D30D583F-16F3-4ECA-BBBA-90E72B4C4C76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7</xdr:row>
      <xdr:rowOff>0</xdr:rowOff>
    </xdr:from>
    <xdr:ext cx="1266825" cy="45720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67A9C558-4C48-4C0B-AC73-B078B85B1019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7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B851DA9C-1C38-4735-99C7-B6C0F1DC83E5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7</xdr:row>
      <xdr:rowOff>0</xdr:rowOff>
    </xdr:from>
    <xdr:ext cx="1266825" cy="45720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33CEC31B-D344-474B-A16D-9ABC7786F0DB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7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4F2EB678-9FA8-4B75-B43E-8358DBED0422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7</xdr:row>
      <xdr:rowOff>1828800</xdr:rowOff>
    </xdr:from>
    <xdr:ext cx="1266825" cy="45720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5D9CF80B-C295-44D2-95A9-BCAC5CE4E80E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7</xdr:row>
      <xdr:rowOff>2009775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AA1E48A8-41C9-4EBB-A96E-5D56A4B4AD37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0</xdr:rowOff>
    </xdr:from>
    <xdr:ext cx="1266825" cy="45720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F6BDA22F-B2FD-47BF-91B6-7F3EF6C70BF3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8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3BEB9F9F-2C50-4B90-AFDD-6B30D7DBDE37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0</xdr:rowOff>
    </xdr:from>
    <xdr:ext cx="1266825" cy="45720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B9147ADC-AEA7-408A-B561-FA6B90AD9200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8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3253BFBA-5BE4-4BF8-A0FB-876B5D00A767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1828800</xdr:rowOff>
    </xdr:from>
    <xdr:ext cx="1266825" cy="45720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B81E01E1-AAA2-4F65-B133-C81891FD711A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8</xdr:row>
      <xdr:rowOff>2009775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ADBB20EC-D352-41E0-BA1D-701CDFDDD060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0</xdr:rowOff>
    </xdr:from>
    <xdr:ext cx="1266825" cy="45720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73EDE584-7531-477D-93C3-6124CDA1942F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9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FE172882-90B4-433B-BCDD-75EFAD316849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0</xdr:rowOff>
    </xdr:from>
    <xdr:ext cx="1266825" cy="45720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109F854B-B530-4476-8784-1615E1228F83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9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AAEE31D-0258-4EC9-868C-7C927FF26F14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40A02638-8B6B-4943-868D-AF99AFECB450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9</xdr:row>
      <xdr:rowOff>2009775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3DF06E9E-3C92-4040-A73F-2AE39121A1AD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0</xdr:rowOff>
    </xdr:from>
    <xdr:ext cx="1266825" cy="45720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51B2609-EDB3-48DE-822F-CE5EC5CDD8C5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CF5F988-C3AC-48D6-B00E-EB389C81942D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0</xdr:rowOff>
    </xdr:from>
    <xdr:ext cx="1266825" cy="45720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F362D2D8-310A-4FA1-B647-EE7C00884CE6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ECD797F-7F40-4FDB-A3EF-29056E3A6A21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37</xdr:row>
      <xdr:rowOff>1828800</xdr:rowOff>
    </xdr:from>
    <xdr:ext cx="1266825" cy="45720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308F1E3C-E180-4DFA-B92F-394F37973EF6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37</xdr:row>
      <xdr:rowOff>2009775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D56925B7-9D0F-490C-8645-F2371815E579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39</xdr:row>
      <xdr:rowOff>0</xdr:rowOff>
    </xdr:from>
    <xdr:ext cx="1266825" cy="45720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5C2781E5-2D5A-4EDB-8508-3DCC36128EC9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39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B2F3E8D-D18A-442A-B899-637248B602C9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39</xdr:row>
      <xdr:rowOff>0</xdr:rowOff>
    </xdr:from>
    <xdr:ext cx="1266825" cy="45720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B83B7067-CFD6-49F6-BC48-1DE25BC90188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39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FE309347-D513-4822-9A2F-6EB1CA35A4AF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36</xdr:row>
      <xdr:rowOff>1828800</xdr:rowOff>
    </xdr:from>
    <xdr:ext cx="1266825" cy="45720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13F61FA4-F3F6-4337-9BA0-F55D2E0E6BCC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36</xdr:row>
      <xdr:rowOff>2009775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8C3830-4969-43D4-9C9D-2DC61D80CDAE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37</xdr:row>
      <xdr:rowOff>0</xdr:rowOff>
    </xdr:from>
    <xdr:ext cx="1266825" cy="45720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11CEDB82-D6C5-41C7-8C2A-0EF5678E3E3B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37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CECEC893-FF67-48CA-BB12-3ED1964B406B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37</xdr:row>
      <xdr:rowOff>0</xdr:rowOff>
    </xdr:from>
    <xdr:ext cx="1266825" cy="45720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E0E2E6A9-CF1E-4B71-BBAA-C7C6439D0C5E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37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CD0008CD-0614-4B79-A846-12C6BCC5B766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35</xdr:row>
      <xdr:rowOff>1828800</xdr:rowOff>
    </xdr:from>
    <xdr:ext cx="1266825" cy="45720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41AFAC9F-3F24-40D7-B8D0-3609041257C1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35</xdr:row>
      <xdr:rowOff>2009775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A82AFD7E-CADE-450C-AABF-9AE01F73F481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36</xdr:row>
      <xdr:rowOff>0</xdr:rowOff>
    </xdr:from>
    <xdr:ext cx="1266825" cy="45720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AEC71A54-410F-4D54-BD37-F1DD772E50ED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36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8C3F4797-C545-492A-87F9-58581B99FABA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36</xdr:row>
      <xdr:rowOff>0</xdr:rowOff>
    </xdr:from>
    <xdr:ext cx="1266825" cy="45720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5E92D41E-F91A-4A15-A085-828ADC94162E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36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FFBAD6E3-C76D-4ABD-A036-6DFA1831837B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34</xdr:row>
      <xdr:rowOff>1828800</xdr:rowOff>
    </xdr:from>
    <xdr:ext cx="1266825" cy="45720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C09531CF-BAC1-469C-91F3-C85D86B7E359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34</xdr:row>
      <xdr:rowOff>2009775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E0C0EAD-79FE-4C1C-8538-1BA6DA941174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35</xdr:row>
      <xdr:rowOff>0</xdr:rowOff>
    </xdr:from>
    <xdr:ext cx="1266825" cy="45720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762C2E8F-3BEE-4963-AFB0-B659D71D539B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35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E05BDBDB-D013-450A-8068-7BA991E4C05F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35</xdr:row>
      <xdr:rowOff>0</xdr:rowOff>
    </xdr:from>
    <xdr:ext cx="1266825" cy="45720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E0AD43F-D7FD-4F17-8560-23E616B7D001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35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28D1BB6-4167-4B30-8D19-81BFD7030FE4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33</xdr:row>
      <xdr:rowOff>1828800</xdr:rowOff>
    </xdr:from>
    <xdr:ext cx="1266825" cy="45720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B7BAE940-890C-41FE-8EBD-6C1CF44EF12C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33</xdr:row>
      <xdr:rowOff>2009775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731CD2C5-EE7C-4483-962F-6E40345E1819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34</xdr:row>
      <xdr:rowOff>0</xdr:rowOff>
    </xdr:from>
    <xdr:ext cx="1266825" cy="45720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EA8A2BB3-7D6B-419F-A38F-F63C7BE04F56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34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741553DA-7907-43A9-BE62-373979161038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34</xdr:row>
      <xdr:rowOff>0</xdr:rowOff>
    </xdr:from>
    <xdr:ext cx="1266825" cy="45720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830EB826-C4E8-408A-BC91-2675C51C4200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34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9E700BDC-F125-4C8B-B7EE-8DD237AF54C5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32</xdr:row>
      <xdr:rowOff>1828800</xdr:rowOff>
    </xdr:from>
    <xdr:ext cx="1266825" cy="45720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E7AC7B82-2887-4B75-B71A-243974B004B8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32</xdr:row>
      <xdr:rowOff>2009775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41F9ED28-D314-4A33-8FDA-9B1C3B925B2E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33</xdr:row>
      <xdr:rowOff>0</xdr:rowOff>
    </xdr:from>
    <xdr:ext cx="1266825" cy="45720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2813256-6DBC-4E6F-ADE4-768E51AEF8B1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33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3586298-7B90-4010-B99F-58B5AAF19753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33</xdr:row>
      <xdr:rowOff>0</xdr:rowOff>
    </xdr:from>
    <xdr:ext cx="1266825" cy="45720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6AFAA7D2-FCB4-44D4-A099-79071E0F04CA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33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DAAACAE9-8AD5-4E2F-AC1E-86BFA4A5418A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31</xdr:row>
      <xdr:rowOff>1828800</xdr:rowOff>
    </xdr:from>
    <xdr:ext cx="1266825" cy="45720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505C51D5-C81C-43C0-B2F5-DFAFDE395470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31</xdr:row>
      <xdr:rowOff>2009775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CFCED686-2B68-4CFD-8030-1609ED8CE435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32</xdr:row>
      <xdr:rowOff>0</xdr:rowOff>
    </xdr:from>
    <xdr:ext cx="1266825" cy="45720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616AEEA8-B38F-4A95-84E1-CBBC96031B0A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32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E027E20F-2E60-4319-BC52-B2A9C36FF9DA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32</xdr:row>
      <xdr:rowOff>0</xdr:rowOff>
    </xdr:from>
    <xdr:ext cx="1266825" cy="45720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94320405-0DE0-4A50-B727-D8E2D97A1EFD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32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9FD2D4E9-F050-4EBB-8203-35274F12E9EF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30</xdr:row>
      <xdr:rowOff>1828800</xdr:rowOff>
    </xdr:from>
    <xdr:ext cx="1266825" cy="45720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99A6607D-25CC-4010-AC1B-EFA4ED6A8583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30</xdr:row>
      <xdr:rowOff>2009775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8A628EA3-0ABC-4D76-8728-F71AD2B30DEB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31</xdr:row>
      <xdr:rowOff>0</xdr:rowOff>
    </xdr:from>
    <xdr:ext cx="1266825" cy="45720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9BF3B676-08C6-45D7-A1C7-72D2F5BCD991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31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1438AFD3-3307-475A-A035-C4759DD8A0AA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31</xdr:row>
      <xdr:rowOff>0</xdr:rowOff>
    </xdr:from>
    <xdr:ext cx="1266825" cy="45720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47816251-E284-4464-8BAE-289B5A0211C3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31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878F6F05-F14C-4369-9CC5-84946F775B18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29</xdr:row>
      <xdr:rowOff>1828800</xdr:rowOff>
    </xdr:from>
    <xdr:ext cx="1266825" cy="45720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C24150E9-57A7-4B15-B1A9-AA860573A142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29</xdr:row>
      <xdr:rowOff>2009775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8E76011A-D3FB-443F-83AD-E02998F5BB31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30</xdr:row>
      <xdr:rowOff>0</xdr:rowOff>
    </xdr:from>
    <xdr:ext cx="1266825" cy="45720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AEA44891-3E11-447C-8F69-56DA32E95C4D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E195F316-E4EB-44C2-A352-41D78BDD0942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30</xdr:row>
      <xdr:rowOff>0</xdr:rowOff>
    </xdr:from>
    <xdr:ext cx="1266825" cy="45720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48120B5E-029A-423C-8572-E3F7B8AF20F2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3D3B972E-B257-480E-9488-94960C9B90E3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28</xdr:row>
      <xdr:rowOff>1828800</xdr:rowOff>
    </xdr:from>
    <xdr:ext cx="1266825" cy="45720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264A3B4A-134B-4E6A-A44F-CC8B1F8525D1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28</xdr:row>
      <xdr:rowOff>2009775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D6A00940-2696-4B2F-8C4F-8D6A8520291B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29</xdr:row>
      <xdr:rowOff>0</xdr:rowOff>
    </xdr:from>
    <xdr:ext cx="1266825" cy="45720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49609873-2AB2-45E5-90E6-66DBDF44D2F0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29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41539AEA-7306-4C4A-BC8F-7980324847AB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29</xdr:row>
      <xdr:rowOff>0</xdr:rowOff>
    </xdr:from>
    <xdr:ext cx="1266825" cy="45720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C530E3BC-9170-40CF-926E-E3701996005C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29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30ABA143-7C4F-463B-AAE6-3A4E870EE09F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1828800</xdr:rowOff>
    </xdr:from>
    <xdr:ext cx="1266825" cy="45720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F1F49148-F3B5-47B7-B73D-29164303FB11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2009775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60755683-4BE2-4C80-87D9-EB170595E9AE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28</xdr:row>
      <xdr:rowOff>0</xdr:rowOff>
    </xdr:from>
    <xdr:ext cx="1266825" cy="45720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9ABAB39D-9DE1-49E4-BD58-F396A16F05C7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28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F9DCB173-B1E9-4AC1-BB98-E61FA3EB348C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28</xdr:row>
      <xdr:rowOff>0</xdr:rowOff>
    </xdr:from>
    <xdr:ext cx="1266825" cy="45720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1B91750A-7F6F-449F-A114-5EF37E764E1B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28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8409B80-0325-460B-8497-2E4BBA51C6F9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1828800</xdr:rowOff>
    </xdr:from>
    <xdr:ext cx="1266825" cy="45720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1A5FB53E-2D59-409B-AF09-FE96785A3B46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2009775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78E414A9-E5D1-4D81-8030-72B0AC564D67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E94A1F20-4834-49CA-9209-76B87241A062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D4C9419D-D7F9-4DB9-B1B6-E377A87A5828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B359B36-2959-4794-B179-AF79A33C1F7B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A5CCAFA0-EDE2-470A-8410-858BEA47662C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1828800</xdr:rowOff>
    </xdr:from>
    <xdr:ext cx="1266825" cy="45720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7EDE7BCD-6EED-449E-9C5F-742F011A86EC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2009775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E077142F-769A-46AD-AD85-DA9C4BD563B1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4548001-EE16-4834-9DF2-0C3341A059A7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52750541-DDE8-4AF6-99F3-4C2A20C66F53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3E2B6892-59A0-4DD9-B12C-EDBC2E5D1736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C9473049-3315-46EA-85E7-BD38584C99DA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1828800</xdr:rowOff>
    </xdr:from>
    <xdr:ext cx="1266825" cy="45720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FFA2807E-6787-4EE6-8C22-A29320513432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2009775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AC200599-975A-488D-AE61-2B2526FF882D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17949BC-8105-4CE6-865B-4E46D32FDDF4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54ADE1F5-28F2-458F-AEB7-1BC9DCCC9B69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96EF7A08-020F-490D-8F4F-088EC4B108BB}"/>
            </a:ext>
          </a:extLst>
        </xdr:cNvPr>
        <xdr:cNvSpPr txBox="1"/>
      </xdr:nvSpPr>
      <xdr:spPr>
        <a:xfrm>
          <a:off x="9873192" y="3090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91F2759D-0BC5-44D4-8931-89FD894EEF05}"/>
            </a:ext>
          </a:extLst>
        </xdr:cNvPr>
        <xdr:cNvSpPr txBox="1"/>
      </xdr:nvSpPr>
      <xdr:spPr>
        <a:xfrm>
          <a:off x="10016067" y="3090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0</xdr:rowOff>
    </xdr:from>
    <xdr:ext cx="1266825" cy="45720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26EE0395-5BCF-4F01-917F-2D8FDF05F539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92A2D640-F76B-4423-AF49-6A77BBE6D1F8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CCE209FC-3BE9-4876-BCE2-549D83F98A85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2009775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B654FE61-833F-4BAF-8495-2E1AF0D4E740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0</xdr:rowOff>
    </xdr:from>
    <xdr:ext cx="1266825" cy="45720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D7754AB5-6F2B-446C-9CAE-6F504F48835B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8395BCF-7BC9-45B8-AFAD-499B30273FAD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0</xdr:rowOff>
    </xdr:from>
    <xdr:ext cx="1266825" cy="45720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C7B791F0-0B06-4B15-BF4A-642CFE35E895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FF3140B1-4747-4006-B671-299D7705F474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0</xdr:rowOff>
    </xdr:from>
    <xdr:ext cx="1266825" cy="45720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B80A27E2-620D-4953-B17E-2FE90C2BD232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B62B853D-DA00-446B-8319-9A7DD8E243F8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0</xdr:rowOff>
    </xdr:from>
    <xdr:ext cx="1266825" cy="45720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1D92633E-730E-40EE-BB77-0AFAF2708620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2EEE4F02-9312-40B9-92CC-97DD60230722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2009775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E17AE90B-2AC0-491B-93A8-2E49E467FD6A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0</xdr:rowOff>
    </xdr:from>
    <xdr:ext cx="1266825" cy="45720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1266EA59-8D90-4597-AB9B-F6FF33665D1F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600C8156-1C3D-4992-A0B2-B4FB299C9305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0</xdr:rowOff>
    </xdr:from>
    <xdr:ext cx="1266825" cy="45720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CA1CA38F-4286-44FB-A96A-5D02AA3E3611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529C4F04-B9D2-4E33-AC25-9851D0FAF552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C9E0546C-5CC0-4870-B1D4-2EF33F9D8F4A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2009775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B4B8D7C2-FD44-4B79-B5F2-168EA4C0E30A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0</xdr:rowOff>
    </xdr:from>
    <xdr:ext cx="1266825" cy="45720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B91874B9-A0F4-465F-8572-1B71B5A0F8C0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7C8154B5-2ABA-4F93-8AFF-4EB8C0B26D7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0</xdr:rowOff>
    </xdr:from>
    <xdr:ext cx="1266825" cy="45720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C273340E-9582-4D56-A050-7781AB35395A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E3546B1-F367-4C67-9F45-D1BF0507EA15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0</xdr:rowOff>
    </xdr:from>
    <xdr:ext cx="1266825" cy="45720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1A8198DC-A76B-4A92-8273-5C8322811814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F9A1F2E5-4D5E-430E-8894-CC4F52226686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DC75FB91-6081-420F-BE9A-1A49207B4D5E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2009775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78467145-CAF8-4ECE-8BC4-73B8A1E4267F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0</xdr:rowOff>
    </xdr:from>
    <xdr:ext cx="1266825" cy="45720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D1BBA191-2C2C-4953-B8BF-73E4DEBF68A4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5DFDCFD8-5F66-4ACA-A854-F2F0D0139FA1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0</xdr:rowOff>
    </xdr:from>
    <xdr:ext cx="1266825" cy="45720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C815CF2A-4D38-408A-86BD-1BB5EFF9884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F8313FE7-249B-4FE6-8D3B-33A3A74E1A3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0</xdr:rowOff>
    </xdr:from>
    <xdr:ext cx="1266825" cy="45720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21EDF3C6-97B0-4F76-B622-7A88D488695A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5BC35E9A-8677-4B4C-97AF-80610CC4321C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0</xdr:rowOff>
    </xdr:from>
    <xdr:ext cx="1266825" cy="45720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5025ED9C-5C68-4D11-ADB8-672791D66822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C5DE1813-79F9-4E37-A850-4CA150D5689C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534A5EE2-BD4A-41D5-B64B-9C2578585677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0</xdr:rowOff>
    </xdr:from>
    <xdr:ext cx="1266825" cy="45720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AFCA2325-7071-4A46-83DA-637B34E06EED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C8881384-6606-4F91-B52F-E8EC80DD70C9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0</xdr:rowOff>
    </xdr:from>
    <xdr:ext cx="1266825" cy="45720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6AECB650-CBDC-449E-9530-A9DE5AD785A5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3C3DB244-6C9E-4684-A8BB-D14B87E7A5A7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5FABBB09-2872-4C38-9EBD-ADC8D3AA342A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2009775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2C25451B-944E-4627-A428-3D894585E9F2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0</xdr:rowOff>
    </xdr:from>
    <xdr:ext cx="1266825" cy="45720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70CAAFEC-3E86-4FD2-A892-930FE400FE46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E459AE09-2532-43D5-9574-575B1BA23ED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0</xdr:rowOff>
    </xdr:from>
    <xdr:ext cx="1266825" cy="45720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10FDB11B-2540-44E1-9680-02A573E2730E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D9C772-340C-42E4-B6C0-312CC0EDB01B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0</xdr:rowOff>
    </xdr:from>
    <xdr:ext cx="1266825" cy="45720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11D0210B-5AF3-43B7-A5F8-B33EBCCF3339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965C5D9B-D4D0-48F7-B8A3-13C37BB3A1A3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4E50DB52-514D-41B6-988A-8C67CF818ACF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0</xdr:rowOff>
    </xdr:from>
    <xdr:ext cx="1266825" cy="45720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49C16A85-E003-43BF-A1D8-CEF4CD01DA4B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4892F6D4-3331-4B8C-A277-C723CEC6D599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0</xdr:rowOff>
    </xdr:from>
    <xdr:ext cx="1266825" cy="45720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F928CD9F-E944-4FC7-AFB3-B24B44CFBA58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5410B798-B2AE-43FB-A289-46951FE05455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28D1D08E-C927-4C6F-B57C-6F1437CE39D9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0</xdr:rowOff>
    </xdr:from>
    <xdr:ext cx="1266825" cy="45720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2442F73-CAE6-4CF9-9DC0-EC3F119CE2C9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3C671547-5C38-436F-A0E7-F205A2EE073A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D31528F4-91DE-4DA1-AFE0-6592246C8B89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C49201B6-A26B-4B13-996F-0AA2A11B1EF1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D3FA7EB3-BB4F-4A89-AD83-971AE5C9F728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A47A6E71-5A6D-434E-865F-B9B09AE9F641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4921A7FE-055D-4834-9B6E-D4569D2157A6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80861824-5F2A-4E4F-9AE1-83C7551F0C97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ED404E1A-72E0-4CE3-AA2A-2053730EDAAA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99320D3B-4718-44D6-B01D-18DAA9BB87C5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3387DA11-4269-40FC-B784-472B4ADA600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F980D39B-F197-4351-A05C-933677E43B55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2009775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FE2BFF88-680F-4316-A2AD-D53CCC3B44F8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0</xdr:rowOff>
    </xdr:from>
    <xdr:ext cx="1266825" cy="45720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52BB4CF0-F85B-4B89-B27A-51EFA66295F8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814570F7-B8EB-42C4-9FB9-5AA5EDB1CB97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0</xdr:rowOff>
    </xdr:from>
    <xdr:ext cx="1266825" cy="45720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37233C97-90E8-4D1F-A310-A635AF96C98D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712F5B5-A635-440F-B3F2-A5846EB768D1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728A5624-F696-4A77-BA1B-80C7BC520305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31E56E84-4334-4435-9DC4-1E133A5CC298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CA505B4-E810-4996-AC9B-D55CDE84F41F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9EE6A83F-F019-4E89-B837-419E76B9104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792BE0D0-32E4-4577-8826-2BC6C07D826B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9D1D084B-C752-4811-99E3-9816AA8076DD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130D8D75-9888-43EC-9DE1-81C1FC4FB9AC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B1A0D8CF-91F4-4E70-8BE7-90328CC5886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2009775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B280CFE4-9444-4529-B0A3-03C5589DC786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E02C641C-F55C-4FB7-8B76-C10A113C9D7F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7B973E91-A506-45F7-AFC3-321146912E2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751B4F42-9B0C-449F-8808-6F94BAD9DC48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A508D117-53CA-41BC-BFE1-816790943741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2009775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5BA08AB3-1A6B-422B-A656-C6EDA4367E5B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4C41553-38C6-4676-B1A5-57ADCF9E55C0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BFBCAFC4-CC12-4001-ACCB-8B76595D2A92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1828800</xdr:rowOff>
    </xdr:from>
    <xdr:ext cx="1266825" cy="45720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E339CBE7-DB1E-4477-9910-63C4AB2ACD0C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2009775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2E26090D-5A62-47D5-A2EF-105EC358793E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DE7EF77C-5621-437B-BF9B-D6CCD507BA21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58C615D4-2DED-457B-8B89-D7561325681C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F58FC668-B7E6-4E19-878B-C641A801545F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8D087717-6B2E-4843-8CDF-5C2D75E70B32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31E45513-DA95-4AFB-8C78-EDC922CF30D9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2BFBD73C-7146-4813-8EAB-40A246F46D98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802A8C67-9860-4E94-9A5E-4FC9601B2A08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5B6743D6-AD0C-4B6F-A235-C2921FC3EC3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2009775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541CB8A5-C0BD-45AB-A198-E3E3190E8111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7DE3CE5E-3AAE-4E26-A464-1DA841A92F7A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111ECBEA-22D6-4F79-882D-5915B9FE5C65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0</xdr:rowOff>
    </xdr:from>
    <xdr:ext cx="1266825" cy="45720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BE10B80E-9C06-4A02-A15F-8D5F61321CF4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19899C4E-63D2-4F24-B1BD-6CB9A2AEE4D5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13</xdr:row>
      <xdr:rowOff>1828800</xdr:rowOff>
    </xdr:from>
    <xdr:ext cx="1266825" cy="45720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B3EF45B9-7D09-48EB-9DEE-80A901D74000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2009775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1B146314-C324-45B2-9F34-1915734FDB67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A7D14718-663D-4071-9F53-570712413FD2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A3E71783-2417-4569-B9A0-C525D772B1E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5AF56EA2-32AA-40A1-A144-EE36318938C6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DD80BAA7-AA43-49C7-B9EA-91B145FD46A1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A077A6D6-24B4-4712-AECB-921B25A8062E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454F9D64-8246-4AFB-B5ED-4A6788CDE44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2009775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D9A2E6A5-F6E9-4313-B530-D82503A05BFF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AB60F9FD-5419-41C6-891D-56E61E4FAC6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F929378E-43D4-44AA-89AC-1694881DB17F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BBA4AFFB-E924-478A-91A3-EEA536C1C573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74E74FCB-EE9E-4C36-A4D8-1EAA40B980E4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2009775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3BCD06B6-AA09-4879-93B3-FFD6834F3F79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2EF2C984-06F1-4C8E-B3DD-6526F3D81D20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27581E73-3E93-485E-A08C-757296F56288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1828800</xdr:rowOff>
    </xdr:from>
    <xdr:ext cx="1266825" cy="45720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CE6DB336-FEA8-402F-AB1F-5398E7C6A66E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2009775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74F85ADF-7D00-46FE-AA7D-30FD22054576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0</xdr:rowOff>
    </xdr:from>
    <xdr:ext cx="1266825" cy="45720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8D491347-5E0D-4A50-B5BC-9911798A2F8A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37AD81D8-3353-4765-81DC-450D169453C2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0</xdr:rowOff>
    </xdr:from>
    <xdr:ext cx="1266825" cy="45720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FE9B55F0-BA1F-4D3E-9023-02AD2D77CA76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4A3F98BE-79A6-462D-9C28-33E7BB11C2C7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0</xdr:rowOff>
    </xdr:from>
    <xdr:ext cx="1266825" cy="45720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882AB7A0-8A0C-416F-A82D-BD2C96CE345B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2BB135C5-2FC8-4044-AEE2-166F8676DFC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0</xdr:rowOff>
    </xdr:from>
    <xdr:ext cx="1266825" cy="45720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31D1E168-696E-41FD-8421-8527B39FC356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4804B70D-A292-4CB6-8BDF-264551F2D57A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2009775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2E799F55-E316-4DCD-8242-EDB94F80A68F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D2D1E09F-0D0A-442A-924C-652AAD742CAA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96E1D90D-E319-4FEA-AB8B-095FD3CCB075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0</xdr:rowOff>
    </xdr:from>
    <xdr:ext cx="1266825" cy="45720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DAB8FA20-BFBC-4A38-84BE-7F9CA7FDBA79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50F3CC9C-969D-409F-92B4-C8D42567B4F3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14</xdr:row>
      <xdr:rowOff>1828800</xdr:rowOff>
    </xdr:from>
    <xdr:ext cx="1266825" cy="45720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ED0B9068-A961-45F9-83D7-CA00B90EEE6F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14</xdr:row>
      <xdr:rowOff>2009775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43A44949-3A6F-4A8B-A294-07855E86B950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0</xdr:rowOff>
    </xdr:from>
    <xdr:ext cx="1266825" cy="45720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1A05C3D4-5471-4CFF-85CD-9B7FC8E76915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C6E280CF-7602-4F4F-8687-09A42BF06F6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0</xdr:rowOff>
    </xdr:from>
    <xdr:ext cx="1266825" cy="45720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1C0D7EF2-1ECB-48F0-A619-D824A58C21E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687BBFCC-D7FB-494C-8B2D-3A8543DDA20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0</xdr:rowOff>
    </xdr:from>
    <xdr:ext cx="1266825" cy="45720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F18E164D-A089-4598-A657-BF90431FA42A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5A271D1E-9FCF-4A91-9D9F-23E1169DC01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2009775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7A858260-2264-447A-9FAD-73C49A236EA2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0</xdr:rowOff>
    </xdr:from>
    <xdr:ext cx="1266825" cy="45720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35110778-9C38-4362-90DD-3FA0C80CA411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DF7E97FD-8047-4572-B929-63E8D18E2C15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0</xdr:rowOff>
    </xdr:from>
    <xdr:ext cx="1266825" cy="45720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57DF728-5ABA-4365-B5BA-4EC74B4CCD6A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D72ADD78-7C3E-42AB-BDC6-3719B08FF754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2009775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2EC35F46-5B71-4BD4-871A-9935E16D5797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0</xdr:rowOff>
    </xdr:from>
    <xdr:ext cx="1266825" cy="45720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1BF831-0A4F-4A10-A625-976C70276664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F68F521D-E6D7-4263-B3D4-0D6DEB5622E2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1828800</xdr:rowOff>
    </xdr:from>
    <xdr:ext cx="1266825" cy="45720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E7272C2E-180D-4CBB-9049-86B9E80FD723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2009775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7521BE1A-0EDF-4886-8AA0-F13A8A97B45B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0</xdr:rowOff>
    </xdr:from>
    <xdr:ext cx="1266825" cy="45720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5D403AA7-69CF-461B-B47A-A039942C7A41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1790A1FC-969E-4055-AE08-9535841DE2D4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0</xdr:rowOff>
    </xdr:from>
    <xdr:ext cx="1266825" cy="45720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CD19467A-9B9A-4B3F-9765-C4671BC87909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25FE9991-B7E8-4E24-B0A8-4111FAAAF0AB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0</xdr:rowOff>
    </xdr:from>
    <xdr:ext cx="1266825" cy="45720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FD36428D-B117-4329-AF93-3A0163DA6E80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BB563BA0-3321-49BA-93AC-3CA387EA89DB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0</xdr:rowOff>
    </xdr:from>
    <xdr:ext cx="1266825" cy="45720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A9B47420-7680-4FD6-8474-EB6FC4DC762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1BEFBAA6-BAF0-4729-873D-8A7643371F44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2009775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D0C339BB-F622-4D53-8254-0D29B69EA5F0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0</xdr:rowOff>
    </xdr:from>
    <xdr:ext cx="1266825" cy="45720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5C601A0F-6B46-4AAF-AE74-E358220EE0B8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34971804-C4B3-4193-A1FB-10BE50875DFA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0</xdr:rowOff>
    </xdr:from>
    <xdr:ext cx="1266825" cy="45720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55575681-1D7F-4A10-9164-37546E897CC8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BC724D54-FB13-4A88-89D0-1BB8375BBAA8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15</xdr:row>
      <xdr:rowOff>1828800</xdr:rowOff>
    </xdr:from>
    <xdr:ext cx="1266825" cy="45720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F8941D63-F933-40B9-9DEE-96C121341327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15</xdr:row>
      <xdr:rowOff>2009775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AC92CE8C-782C-4AD9-8F6F-025F3D53B0DC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0</xdr:rowOff>
    </xdr:from>
    <xdr:ext cx="1266825" cy="45720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C43D2AC4-367D-4C7F-8EB1-B40AEDB7A961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D862C80A-C4A4-4457-B5F8-71903BEC2D2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0</xdr:rowOff>
    </xdr:from>
    <xdr:ext cx="1266825" cy="45720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BE4FCFD7-2E9F-429F-A56B-46947CBE3A0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98CB8E79-EE9E-4753-AA4A-9AFC7F7F054B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0</xdr:rowOff>
    </xdr:from>
    <xdr:ext cx="1266825" cy="45720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E18C8173-484C-4A52-BD12-4E786C5B23D9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77C318A8-4524-4405-85C7-EB1126A2560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2009775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E4F85527-43BF-4818-B67D-4BBC3F9F56BC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0</xdr:rowOff>
    </xdr:from>
    <xdr:ext cx="1266825" cy="45720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A1B79E0F-4A58-4140-94FD-5EB8554BB8C6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D80BEC10-189C-490D-AAE8-D6A94A6A0B6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0</xdr:rowOff>
    </xdr:from>
    <xdr:ext cx="1266825" cy="45720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3915DAD7-C6FF-4A7B-AB7D-CB2E5C6DE2EE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1C472F26-C75F-4D76-897E-2FD804B8836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2009775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B41EEB9C-39DA-4B10-8720-B67B147B86BF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0</xdr:rowOff>
    </xdr:from>
    <xdr:ext cx="1266825" cy="45720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5B8B886A-0935-4C17-9CF2-69EB1C61A1E2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1045251B-EDCA-45CC-98C3-0E37103F0484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1828800</xdr:rowOff>
    </xdr:from>
    <xdr:ext cx="1266825" cy="45720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ACFBBA2B-E53E-452E-8096-4467C84C63D2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2009775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BAD02E30-9D02-4E48-899B-F181A60757BC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6535F419-6AB2-41F5-B548-32E14E891D6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DAF33F59-36B1-4FBF-A4C4-5807CACA3498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C288F1C8-579D-414A-B9F9-59E1AB57A8FC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84BEF448-42E8-4A99-83C8-9B85796F7121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CE7C109E-6325-4E75-ABB6-7D033D872DFD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1725569C-A2D0-4F3F-9D10-DB91C58FEBBA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EC7D4B7F-F34B-483E-93CB-4B47DCF886AB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6FEB79D6-06C5-46AB-8968-DF9C17E56505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2009775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D776EFBC-ED85-4CF7-BDE1-63EBB176D592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0</xdr:rowOff>
    </xdr:from>
    <xdr:ext cx="1266825" cy="45720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730AE938-6BA3-493F-8726-1324396831A9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21AF4C70-1EEA-4A4F-8ED5-CD8A3F5FA250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0</xdr:rowOff>
    </xdr:from>
    <xdr:ext cx="1266825" cy="45720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FEB054F2-3E3D-410D-BC6C-170E2A79C862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5A29325A-0685-4DD2-9FA3-56E14662E0B7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16</xdr:row>
      <xdr:rowOff>1828800</xdr:rowOff>
    </xdr:from>
    <xdr:ext cx="1266825" cy="45720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5AB962FF-4C84-472F-B4A2-AE37E5314082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16</xdr:row>
      <xdr:rowOff>2009775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88C65F4F-814F-4A42-8A4E-3387209AC906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7FD72559-093B-41F5-A035-B93C0911C050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95E6A4A-3E74-4614-BD37-84271BD06AE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750992CD-BBD1-4399-8012-386A8D1D896D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4213E7E7-A2BE-4B2C-AD06-110D94343F82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9EBE6E7D-2127-4690-96CC-56A1A8C87EEE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60DC81F6-7F1F-47DA-8768-5F4FC357BE79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2009775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10F79E9D-2602-4AAC-B3C0-9641CECB0A2E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20CAEF2F-7379-47E9-8B6C-C2E3C5746BBF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33D18CA9-8456-4B74-8079-06641C7169B3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C99E585E-C37A-4D1F-9161-49CF40B758DD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C7056098-9F1D-45F0-8E9F-A348CE4AE20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2009775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C1580825-1D6D-4086-951E-9848BC6A7AAE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80D38729-2DA8-438C-9D36-71C10F21ACFF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6EBBEC8-1B7C-49BD-955A-97E41C2E5765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1828800</xdr:rowOff>
    </xdr:from>
    <xdr:ext cx="1266825" cy="45720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F8E2D700-4262-468C-9F68-CBA6A0A1A30B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2009775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6D22A63E-EC0E-42F0-8601-6C07DAA1D79C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7EF386FC-4320-46AC-8422-76C510284AB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C96404C7-9BCB-4C95-BA25-D9E69BAF7915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8861A437-E793-4335-9097-95266133A5FC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BF5F5FF-B7D7-4569-9531-0B90BAFEE4D2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583CAC83-1F8A-4377-9116-F645660A9435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21EEC71A-BC98-45FD-AB8E-9583C35F88F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D71C8A96-F4FC-415A-9C5E-EE2680044E30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11FFCFF2-DBAF-4D91-8C0A-70687A80ACDF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2009775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408FD349-122F-4D83-8E5C-ACCCE6BB5973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65789730-8CE4-470B-ABA0-F5A62F1A72FC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3CD4DDB1-B755-4BCE-BDAD-8D09C3F60D6B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0</xdr:rowOff>
    </xdr:from>
    <xdr:ext cx="1266825" cy="45720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9432EEA6-59C3-4544-9FF7-99B726ADDC41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D6DA28B4-0F19-49D8-A61C-03BD95AC1ACE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17</xdr:row>
      <xdr:rowOff>1828800</xdr:rowOff>
    </xdr:from>
    <xdr:ext cx="1266825" cy="45720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EF4AA7E1-8EE1-425F-93EF-BD86D9E8FB73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17</xdr:row>
      <xdr:rowOff>2009775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42C9A457-E85D-4E80-8A76-AD034A5BACA1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5890A224-E18C-4BE9-A2EF-BD724E3D702D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41D0403B-EA0E-48E7-98F7-2279049D2795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743D4436-AA84-48E2-93F6-1460923F56F2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53C63901-DDB0-4311-AF64-BA263AC6A46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51018307-00E5-4DF7-B7DD-9ED78D320383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433DE5A4-7DC3-46AA-B489-7C7B53EA9657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2009775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29B9B0CF-0786-4C01-8F7E-E853C9882887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B41D90B3-895D-4F13-93BB-BF176E0D1FE6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77C38587-1744-4071-BA11-327AEBD1097F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808B6EC9-F7B4-4085-B1BA-A5888EAA4462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2ABECCCE-BC40-4D10-92FF-08EEF7CC0DC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2009775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F40EA5A-55B3-42D4-8869-2578F4D1F314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52954F4D-D25C-4CFC-9C66-C68E401801FF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65F596FB-B9E6-4F23-A047-DE8FECD0F18A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1828800</xdr:rowOff>
    </xdr:from>
    <xdr:ext cx="1266825" cy="45720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C9B833DF-85D7-4F2D-8780-B36502193DA1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2009775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111754E3-E8B1-4A46-92AA-0C4B43289F26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0</xdr:rowOff>
    </xdr:from>
    <xdr:ext cx="1266825" cy="45720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F9B4D8FD-6686-4F8C-944A-F24EF7710410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8235AC07-EB28-423C-B751-71917FAF2189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0</xdr:rowOff>
    </xdr:from>
    <xdr:ext cx="1266825" cy="45720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6343E93E-2DFD-49A1-9148-85A6E2C36D3D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4CEA5C4A-E5BD-4CC6-82FE-6228142FA577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0</xdr:rowOff>
    </xdr:from>
    <xdr:ext cx="1266825" cy="45720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4C283874-4A4D-43E2-8555-5A8A3DCC25A3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1A9A72A8-2BC1-4BCD-9F4C-758BD04F87F5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0</xdr:rowOff>
    </xdr:from>
    <xdr:ext cx="1266825" cy="45720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9A05A7BB-9D51-47D0-8A15-AD18762CA66A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B88502A-8B12-4E51-B68F-D2292B92C3F4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2009775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242CFA5F-68C3-4392-98A3-E87E8C07693E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8E7ABC3-73DD-4841-9C6B-08FDFD7AEFAE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101C70A6-EAB2-4A4A-9428-E7F597FDD2B7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811C8D69-F26A-417C-B540-0341052C0233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935566CA-2071-4F4E-B430-72ADD293DBDE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1828800</xdr:rowOff>
    </xdr:from>
    <xdr:ext cx="1266825" cy="45720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7B21B6CE-886E-4272-8E34-FF74160164E8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2009775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897A8800-8225-47C7-B887-99F3F61D7855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0</xdr:rowOff>
    </xdr:from>
    <xdr:ext cx="1266825" cy="45720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CB54EB79-70BE-4DC2-84CA-17431D33E2C2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86887D36-CC5C-4B02-B534-93AC8D1FB10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0</xdr:rowOff>
    </xdr:from>
    <xdr:ext cx="1266825" cy="45720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A01212F9-2858-4193-9C42-7DDC4FE0C23C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58FEE8FD-58DB-4FEA-9162-DE7259B37775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0</xdr:rowOff>
    </xdr:from>
    <xdr:ext cx="1266825" cy="45720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8694B576-B640-404A-B276-530F51CFDC0F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48745164-8B09-426D-83B2-A6B0C95D5BE8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2009775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C30C81F0-F20B-4CF8-A11F-83561F23E7DF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0</xdr:rowOff>
    </xdr:from>
    <xdr:ext cx="1266825" cy="45720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BEABDD7E-3555-4C06-9496-0AE5070A4A21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6F5E0485-EC6E-47BF-A8F3-1BE082FA600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0</xdr:rowOff>
    </xdr:from>
    <xdr:ext cx="1266825" cy="45720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595B43CD-25E8-44AD-BF71-0E31D2BACA51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D9B87F41-AE07-4C99-8893-9CF9A046C89B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2009775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271151D7-0E82-4D62-812D-CCFCA3FD0845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0</xdr:rowOff>
    </xdr:from>
    <xdr:ext cx="1266825" cy="45720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1FC13DCE-86BE-43B9-8717-6E6597CF9B66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6B7AFE37-AD1A-4CC7-9938-D7412A4CABC8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1828800</xdr:rowOff>
    </xdr:from>
    <xdr:ext cx="1266825" cy="45720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D9F58553-043A-47E6-9EC4-F89729360000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2009775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77697455-78D7-49EC-AD49-385D1DB6D12B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F6CC166F-4974-4DB5-9F46-27B951AE223C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7583613D-7C85-45B9-A973-58B66983B2E5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6051A825-08C5-40EC-B3DA-1BEF2E312351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D413DA91-27B3-41E3-B96E-EB13CB63D9B2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BE1AA245-E4E4-41BE-BFB9-78292A10853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B0D5F909-C154-482B-9E6B-F1B41F3D5B7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6459D04C-8215-46BA-A05F-E414F6A4F0EB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74F7378D-867D-4DB0-B0F6-61889B055C5B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2009775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4E9570E2-ED8A-489D-AC57-80FCFBF914C8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0</xdr:rowOff>
    </xdr:from>
    <xdr:ext cx="1266825" cy="45720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DFC6E037-47B2-495D-8E55-E6E1A227771D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5DB635B8-438D-40F6-825B-D5023005168A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0</xdr:rowOff>
    </xdr:from>
    <xdr:ext cx="1266825" cy="45720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7655F4BF-8975-4C7A-A409-7FE6906B0147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AE84622F-C565-429F-A979-E194CD7B833B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19</xdr:row>
      <xdr:rowOff>1828800</xdr:rowOff>
    </xdr:from>
    <xdr:ext cx="1266825" cy="45720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6E6868E1-0F07-4E32-ADE6-3BE8370A9437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19</xdr:row>
      <xdr:rowOff>2009775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42C5F10E-8405-437E-96AD-EE390C097E0B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644C8CDB-691A-4E03-9B96-5EA71E9E4B28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82C59FD7-91B7-4CE3-BB71-74D214928A1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880C1EAC-A5FD-42A6-8B73-71953BF1748B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CF53AC34-D537-4BB2-8B95-29226B5C6084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F79024E1-7000-4B1C-A4C5-E15E8A73B91C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B4B43BB2-D4FE-4261-8461-BF704B95B7C8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2009775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86C657DA-763D-4D74-90BF-7D71D98299CF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9C2250FC-D866-43BA-B198-699B09AEF874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8C93B89-4D0A-45FC-B99A-F9C4EA47E0D3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B6195E19-C5A5-4CAB-A88C-E189731A33F9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D6F7DA90-F7CA-403C-8E87-1972A01D336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2009775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EA7800C6-D39E-4DE3-970E-E2A95B761298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182A085A-4097-4218-98DB-934DDCFC0CB7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A0B8AE30-75FA-4BCC-991D-B57FCCFE896F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1828800</xdr:rowOff>
    </xdr:from>
    <xdr:ext cx="1266825" cy="45720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AEEC35BC-DB5C-4C20-97DF-04D2D9227E98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2009775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CD7C4DA1-711A-4A4E-9A5F-AA5548EA2CD1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0</xdr:rowOff>
    </xdr:from>
    <xdr:ext cx="1266825" cy="45720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8A2607D2-09F0-44BA-A59E-109876AD1AF5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17108387-2C9C-4725-A6E3-CD00D6480699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0</xdr:rowOff>
    </xdr:from>
    <xdr:ext cx="1266825" cy="45720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333AA6DF-56EE-4B66-9814-C61E430DEDCD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FAE42F36-E1CE-4C33-BC8F-4CA4A5C5215D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0</xdr:rowOff>
    </xdr:from>
    <xdr:ext cx="1266825" cy="45720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4D87219F-349D-496D-87B5-C8C3975D4ECC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E7FA4C7D-0995-43C4-AF10-9253E565FF8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0</xdr:rowOff>
    </xdr:from>
    <xdr:ext cx="1266825" cy="45720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998B54AB-1F41-4C23-BF73-3301D58AFE21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E072F364-0752-4821-B6BF-27BF78F14C52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2009775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37F939A3-048B-4A36-ABDB-364D85379F3E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7327D38F-AF4F-4266-977E-E4055AFEE660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BF7DD44C-A5A9-44E0-AEC4-3901FC2F5130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0</xdr:rowOff>
    </xdr:from>
    <xdr:ext cx="1266825" cy="45720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60EC619D-8035-4E5F-8C43-4D4BC0162B69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458758DD-9915-4685-A456-49B2B36E1CAD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20</xdr:row>
      <xdr:rowOff>1828800</xdr:rowOff>
    </xdr:from>
    <xdr:ext cx="1266825" cy="45720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1E688FB4-4EB9-42E5-A2F1-AF6BA2007DF0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20</xdr:row>
      <xdr:rowOff>2009775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91709747-3410-4B18-832C-A1AC05938943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0</xdr:rowOff>
    </xdr:from>
    <xdr:ext cx="1266825" cy="45720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74059EB9-C462-46A8-AE7E-482F59BDBDAA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0AA59E0C-695E-46F7-B1B5-E28CD9C505C8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0</xdr:rowOff>
    </xdr:from>
    <xdr:ext cx="1266825" cy="45720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CB577713-BAC6-49CA-9743-6154FF528553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CE003C64-2F58-4D50-9BB3-B8A90D9C3C05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0</xdr:rowOff>
    </xdr:from>
    <xdr:ext cx="1266825" cy="45720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1BDAC12A-F4CB-4CB6-82A0-6DE36FCF2623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6F42A82B-A417-470C-9122-5A0D7C79F822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2009775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B40A7021-63AA-45C2-A4BF-585320670EEC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0</xdr:rowOff>
    </xdr:from>
    <xdr:ext cx="1266825" cy="45720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819B2908-4E51-42AF-9B64-282298522B2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DBE86312-9C54-44C7-B34A-93A625978873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0</xdr:rowOff>
    </xdr:from>
    <xdr:ext cx="1266825" cy="45720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4FBF195D-6398-4056-A67D-CB7FD0D7B57C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88AD041B-277E-4754-97D0-1AAD14D5DD03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2009775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A3F21150-5AC0-4772-8400-DD852A06450A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0</xdr:rowOff>
    </xdr:from>
    <xdr:ext cx="1266825" cy="45720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285C4FB8-DB72-493A-A4F6-069400CC7B05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BDA4C989-2E9C-4ED1-9EDC-B3D44A724664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1828800</xdr:rowOff>
    </xdr:from>
    <xdr:ext cx="1266825" cy="45720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5B6ECB4-7B7B-42F6-B007-C2492AA9D1C5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2009775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A9EC150B-4B93-46DF-98D5-83C55D2DF91A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0</xdr:rowOff>
    </xdr:from>
    <xdr:ext cx="1266825" cy="45720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E9BA55F3-520D-4ADB-9D7B-EDF0FE1EAED1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CED5856-D3B9-43B9-AB30-4DA6517A026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0</xdr:rowOff>
    </xdr:from>
    <xdr:ext cx="1266825" cy="45720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D485075-9AA6-4AC4-9071-CC9524175095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A6B906C6-2884-46ED-B87D-5E9E672139E8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0</xdr:rowOff>
    </xdr:from>
    <xdr:ext cx="1266825" cy="45720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443063BB-4B43-4133-818E-94ACF21E0AFA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E6CB9168-A669-4E42-85ED-C0CB3800D41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0</xdr:rowOff>
    </xdr:from>
    <xdr:ext cx="1266825" cy="45720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7ADFFD09-3363-4956-96AA-B3887DBA51B6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82118F2-A8F5-49B7-A8CA-9B093287909D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2009775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E4446D4A-3380-440F-B19E-80B693DD1B92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0</xdr:rowOff>
    </xdr:from>
    <xdr:ext cx="1266825" cy="45720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C8C15AA9-4483-42D9-B1DF-3FDD7BFDE833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806A79DE-CFAC-4BAA-A745-EF670ACB376A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0</xdr:rowOff>
    </xdr:from>
    <xdr:ext cx="1266825" cy="45720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5A55A0A5-EFA7-4996-BDEA-FC1C0731BA13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885341E8-0E2B-4FB3-816A-04BB665C625E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21</xdr:row>
      <xdr:rowOff>1828800</xdr:rowOff>
    </xdr:from>
    <xdr:ext cx="1266825" cy="45720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F19FA463-58C7-4692-A9ED-A92998479A9E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21</xdr:row>
      <xdr:rowOff>2009775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63E791DA-9501-490F-A400-63D6E3BF064D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0</xdr:rowOff>
    </xdr:from>
    <xdr:ext cx="1266825" cy="45720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6437188-66FF-4973-BC98-DB638BDC4823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9CE07E0E-12FA-49DF-8EA6-09B2739ED20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0</xdr:rowOff>
    </xdr:from>
    <xdr:ext cx="1266825" cy="45720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1043B8AD-A2EB-4674-BFFA-C5DCB14C3271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8F07ED5-7593-4EF9-BC5C-7D60A6682AE3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0</xdr:rowOff>
    </xdr:from>
    <xdr:ext cx="1266825" cy="45720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994A82EA-531F-445A-A657-7D10D622E69A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412DBBD8-5CDE-49ED-80C2-A49007DC55A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2009775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2400B3C9-A106-4463-AE73-17581ECB8A57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0</xdr:rowOff>
    </xdr:from>
    <xdr:ext cx="1266825" cy="45720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B80F6A23-4A0D-4CED-9635-F8ED82878D39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C5392E26-C3B0-4B1C-839E-C519694F171A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0</xdr:rowOff>
    </xdr:from>
    <xdr:ext cx="1266825" cy="45720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C46CB5E7-650B-4B3B-B444-D6C98274F2C9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B8ECD401-905C-454E-A7F1-FA9CEF718C3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2009775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7A9C5F6C-682B-4C02-A192-9803B10F3BA2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0</xdr:rowOff>
    </xdr:from>
    <xdr:ext cx="1266825" cy="45720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2995807B-AFFB-47EA-AEEB-1121176C7FAD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A77C1EE2-FEB7-4CF6-8BD6-2102C9800D51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1828800</xdr:rowOff>
    </xdr:from>
    <xdr:ext cx="1266825" cy="45720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FA4B1BB5-B98A-46A6-8DD8-C655ECDE189E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2009775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41485594-3298-4DDC-85F7-4C1847449BFC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4A07C20B-8EE1-427E-B053-DA0C5E539C1D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1CE852A3-F6EE-40E7-871C-9D9D329E3FBC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7CF9A241-2077-4BAE-A8C4-9E86C5AABB6D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C5EB2B1A-92A9-4AC4-8DFC-85346F6D07D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7BEB1D04-8FD0-4838-BA02-3A915219AE6D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31E89A13-EF62-473F-B53A-A86F0AD6502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8340024F-4FDC-4D50-A145-B1228AA16124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5640687A-DAB3-4430-8E8B-BF13EC652E51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2009775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E4E127DD-5D6D-4942-A580-8A137B4250CE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0</xdr:rowOff>
    </xdr:from>
    <xdr:ext cx="1266825" cy="45720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AE094820-333A-4293-8EC6-FF29B4143082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A3F862BC-65D1-4843-9F89-090A57E4A339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0</xdr:rowOff>
    </xdr:from>
    <xdr:ext cx="1266825" cy="45720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F12839B2-ECD0-4317-9B49-3DED298BF8FC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E5E0D7D4-342A-4059-858F-0FE4AD068771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22</xdr:row>
      <xdr:rowOff>1828800</xdr:rowOff>
    </xdr:from>
    <xdr:ext cx="1266825" cy="45720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EF118040-7ED2-4D2D-9E3A-1345271381A3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22</xdr:row>
      <xdr:rowOff>2009775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C5DCF129-9327-4212-8694-EE1FD2927CA6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7DF869D5-460B-4FC7-8835-66A351F19BED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FD3A9C85-2128-465D-9A14-B238CF5E7DDA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2BB2D1B7-EA36-4E21-B15A-BDB38A603C71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5A6FC338-3856-4814-AF5A-A73C218C227F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302911D8-188E-4DC9-AC8B-6FBCB616FAF6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7F7E2E39-C7A0-4C01-8E59-CC9D2E9C82D8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2009775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2CDB438D-D5FD-41FE-8D5E-326EDA29E813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8B295F72-724E-45E0-BD72-D5FAA37C908A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2BF01F9-D12D-468F-8876-DB53C280EBC4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B7200C0-746A-44A5-B491-91FF2F10051E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5A1630EE-51D0-47DF-BDE8-A34D50956A64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2009775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59901033-88A7-4D36-86B2-40D2F1196DE8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B8E461ED-E8DB-44EB-B82A-4C8594B100FE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3ABDC373-B101-4A06-8C96-95EB85976A05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1828800</xdr:rowOff>
    </xdr:from>
    <xdr:ext cx="1266825" cy="45720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403DF9E0-F2DE-4C9A-8BA9-943334430E2A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2009775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46D1EB41-B2FB-481F-B9B1-86BE401AD3D6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ED066663-84A4-4E26-929A-36E7809D8BA1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1D4E4DB1-0770-4E8A-A238-4818120B87C1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63B84159-0C07-4D84-A991-59C553236C95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15064941-2CD5-44E2-B87F-3DB679DB95AA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747A075F-1F53-4248-9C6D-FE7780E16E2F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87478F3D-0FE2-4D6F-BFC8-B1DDF7E9CAA8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1AB11611-C0E1-49BF-ABE9-886C4CC6A8FC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2EB4D100-715A-4781-AAFF-C51396F75453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2009775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5BB1BFA-78ED-46C4-9888-2E47425BD3C6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C020FFB6-25C5-4008-B8F0-43FB27D2976D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897BBD11-B117-4AC9-93DE-D5023842D4B9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0</xdr:rowOff>
    </xdr:from>
    <xdr:ext cx="1266825" cy="45720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328B84FB-CA02-4D20-BC35-52958CA7F5C8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6E376FA2-BEB9-4D5D-AEB8-2D8CE6B4B4AD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23</xdr:row>
      <xdr:rowOff>1828800</xdr:rowOff>
    </xdr:from>
    <xdr:ext cx="1266825" cy="45720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B6E7BCFC-E83A-477A-A417-6CF3AEAF4458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23</xdr:row>
      <xdr:rowOff>2009775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E30231AA-1887-4169-8602-26AB9808DD9F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9E71DDDD-5EA1-4C3B-B7D1-EC31BD5D7298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E47B8993-BAA6-4EC6-A950-CF7576AFB43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FCABE5C3-1A05-48E4-A515-CB7597BA598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F53A909D-795E-4604-87BE-BFA61995A5F7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18556D96-A189-44E6-A2C4-05AB676F054D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ACC1B393-1526-444B-8FFA-799BB90D2D1B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2009775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C25BF960-EC69-46E5-81F0-78B7A0BB0A57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8AA4657C-B16D-4B0E-9012-6C87F332EAAD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C87EF3AF-B725-4E2A-BC01-A96A173C7609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F64FA2CF-8404-4832-A450-98905408091B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82A3BA93-2019-43D2-839E-77B1A561262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2009775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6E164EA5-9367-46FB-B036-E83A216EF5F1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A80F8CF2-0D05-4B41-B36B-94E82F08F5BF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1C2C50A6-7658-417C-AF3B-B6EE96CDB117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1828800</xdr:rowOff>
    </xdr:from>
    <xdr:ext cx="1266825" cy="45720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8C5403B7-9642-44B3-8338-DEF14A368FC6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2009775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5FF695D1-D5EC-4653-918C-F24ED1D7030D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416F1A8D-59CB-4ACC-8720-C3A9E3DC1CB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DAC485DA-BDC8-47AC-8B30-4B5C069F2333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105E454F-CBF0-4982-BFC3-CA69FCCDED2E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1248AC87-4832-4DFF-8866-8CEBC95EA48D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FF9A9A90-4E86-4C2B-BF05-66D7AE661298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28E49354-70FE-45EA-8B59-D407376F5A7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CF1B1B27-077D-4878-B49F-671CC1F20BA0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80E69523-E895-4AC4-B5C4-A2AC653A4DA8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2009775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AEEBC28A-B449-46F7-882A-44D12210310A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2B0E0CA9-527C-4C9F-B9CF-B3E722273CD7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3C9DE237-D89B-4EFB-9146-448E9D23092B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0</xdr:rowOff>
    </xdr:from>
    <xdr:ext cx="1266825" cy="45720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3C755F06-B890-4DEC-9268-A7C7A97C4CA7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A6F86292-6457-4906-9C72-E08D8A532A84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24</xdr:row>
      <xdr:rowOff>1828800</xdr:rowOff>
    </xdr:from>
    <xdr:ext cx="1266825" cy="45720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11CF66D5-2E57-4F04-8435-2FD188E3CA37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24</xdr:row>
      <xdr:rowOff>2009775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C7B95CC3-FE3D-4664-ACC9-62409DC9AB4F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E6090C73-3899-404B-9425-B1AD62A8564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7925296-0786-4D79-B0A2-B9E8EB8D028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6C02736-CD59-4E7F-8B57-54327D78E3C9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11C84AF8-D1ED-4EC0-A86C-621252C81D4B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87ABD11F-3BC3-4231-9435-C1AE4DA257EE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884CFA78-6BD0-43C4-8452-D5E553E8AEAE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2009775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849F72C4-4842-4E95-82C6-8AFAF5E04DCF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272574EA-09BE-4D4A-B7A3-1A6FAFC72E68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1C186445-9FF5-4693-93DA-4062536D83E2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56E3F0DD-C114-449A-BA26-2FB02FC178B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131EB5A8-9049-49AF-93E9-4BE830FB4099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2009775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D958A5EC-B2A4-4B86-8BAA-C8C1AC18F4E4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513DF416-87BA-4980-92DB-0E5CBB92AC23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FC2BAE5E-8F51-4CEC-AB7C-FB122C98BB39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1828800</xdr:rowOff>
    </xdr:from>
    <xdr:ext cx="1266825" cy="45720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28F67FD-E0B3-441C-9DED-DCCBA9D8DDF0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2009775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8EA323E0-0996-49FB-B567-4DF55D7F598B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419ADDBC-CA11-4973-9790-241E22A99775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C11962F5-08E8-4AB5-994E-6B45D68A556D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22CEB2E8-831B-4369-BC12-3083850CAFDD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5D04A180-9C1A-46FC-9B6D-A12274241A94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78B009A-09C7-4135-91D8-76F74BE07E5A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C7C854B-8838-4E8E-A26E-4F1E9E6C4364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7F4A7028-BBCE-448A-963C-37333C3ACD1F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83F1125A-E8CD-4BD9-8E1C-B9795BA9EDB7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2009775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A62928CF-20EB-4874-9BF9-EA86CFBF22D8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F30B0C72-C9BC-41CE-B3C6-D292BBAC849C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6EDF9E55-FCC5-4852-85B5-5ACBC2CEDC15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0</xdr:rowOff>
    </xdr:from>
    <xdr:ext cx="1266825" cy="45720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CD8024EE-A530-46C5-BFD1-85ADEF68B27E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EF461125-B98E-4348-9022-4882BEF605FF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25</xdr:row>
      <xdr:rowOff>1828800</xdr:rowOff>
    </xdr:from>
    <xdr:ext cx="1266825" cy="45720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856FF38F-FEA4-49F8-8B5F-A31EA4BD0D29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25</xdr:row>
      <xdr:rowOff>2009775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A297BDD2-5036-4682-A20C-C49EC63B7413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842345-8B6A-403E-A011-4702D2080B79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61676C47-968F-4618-B913-A009B3AAC809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3C05C37-E0F4-43A8-A9D4-0971EF5DE5A5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1CC75533-604D-4B93-BB3F-A83024F3B0CA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C2CB599E-1C56-4077-A5C3-0FEC5C89C45C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3D2EC2FC-501B-4638-94F9-1E55F4C29D8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2009775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A6BA6775-7683-4FE6-9E9F-A2F47DBAB5BC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D9D159B5-AE62-46F6-88D2-F721CC7B9316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C282FB5D-5647-484D-907E-4AF61EDC8C28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B84E5864-1A22-448F-9C8E-49842BB7232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F6ED67F3-12AA-4C98-9F81-53C8FB283E1A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2009775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E61985C4-6BD6-46C5-B70F-D01E2488B087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B7B03332-6612-4870-9034-3A2E90BF1DF0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7DE9DFC0-6012-480E-909C-A1A52A14395F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1828800</xdr:rowOff>
    </xdr:from>
    <xdr:ext cx="1266825" cy="45720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4AC3ADDB-5B00-43F7-A2C8-A5C0113B19FB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2009775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D5C4BF89-31A4-4B21-BA05-8153071F3B66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7552F58E-4770-41D1-9944-2A9A3B880AB7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740CA0FE-F85C-446E-B48C-F804ADDAF546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B30CF2DB-BA36-4218-A108-A2CC57363D0F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AAB84009-CBAF-450B-AD61-4B512FFD95E3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26FA3E9D-E931-44DF-AC86-7797425208D8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C26F9BD0-7316-4C4F-8E71-A02C544CDC65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A39FF6A6-4A03-488B-BE6A-CED14BF234CC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42BAEB0C-7E5A-420B-90B5-2EC34101C3C9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2009775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ADB631C6-2B67-4166-866F-35267FCCCB4D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A0888488-FF46-488C-8CEB-CCE8D9714EDE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CC992F4E-9AF1-411A-AB14-E526D5B16DF3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0</xdr:rowOff>
    </xdr:from>
    <xdr:ext cx="1266825" cy="45720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EBD7CBBA-5CC5-48D8-A4FA-BAAEBFCA1B6C}"/>
            </a:ext>
          </a:extLst>
        </xdr:cNvPr>
        <xdr:cNvSpPr txBox="1"/>
      </xdr:nvSpPr>
      <xdr:spPr>
        <a:xfrm>
          <a:off x="9873192" y="44344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FDE16B35-3AD8-4869-A081-AF5D5A22C8E1}"/>
            </a:ext>
          </a:extLst>
        </xdr:cNvPr>
        <xdr:cNvSpPr txBox="1"/>
      </xdr:nvSpPr>
      <xdr:spPr>
        <a:xfrm>
          <a:off x="10016067" y="4434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26</xdr:row>
      <xdr:rowOff>1828800</xdr:rowOff>
    </xdr:from>
    <xdr:ext cx="1266825" cy="45720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41A4C935-917B-496D-B285-E1E8A8779E10}"/>
            </a:ext>
          </a:extLst>
        </xdr:cNvPr>
        <xdr:cNvSpPr txBox="1"/>
      </xdr:nvSpPr>
      <xdr:spPr>
        <a:xfrm>
          <a:off x="9873192" y="467254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26</xdr:row>
      <xdr:rowOff>2009775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1BF54F77-ABFF-443F-A67C-4F99FF552751}"/>
            </a:ext>
          </a:extLst>
        </xdr:cNvPr>
        <xdr:cNvSpPr txBox="1"/>
      </xdr:nvSpPr>
      <xdr:spPr>
        <a:xfrm>
          <a:off x="10016067" y="46725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2FA623DE-AB4F-48CE-9362-794ED044B771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F3A913C6-7A32-454C-9A70-FA4E01DCF180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8A4B05EF-9D77-47CC-B441-35CC6E143F50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D0D9BED3-D04A-43AF-9B00-2C65FF96366A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F9783587-4CB4-46AA-86A8-FD5BD87A9ACE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09D8E7D5-2993-4673-9BBB-E3AA6B76C564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2009775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6311EA06-83F2-4F4F-8CAF-A6C4322D8DD8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B3C3A5E4-51E7-43EE-871F-D98B5BC75E05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E6E55370-7201-4605-8310-6C00EE688B5C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27</xdr:row>
      <xdr:rowOff>0</xdr:rowOff>
    </xdr:from>
    <xdr:ext cx="1266825" cy="45720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B25220FA-156D-4363-8F46-F80CA473E3FF}"/>
            </a:ext>
          </a:extLst>
        </xdr:cNvPr>
        <xdr:cNvSpPr txBox="1"/>
      </xdr:nvSpPr>
      <xdr:spPr>
        <a:xfrm>
          <a:off x="9873192" y="4677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D021451-8DEA-40D2-9865-E3975165AABF}"/>
            </a:ext>
          </a:extLst>
        </xdr:cNvPr>
        <xdr:cNvSpPr txBox="1"/>
      </xdr:nvSpPr>
      <xdr:spPr>
        <a:xfrm>
          <a:off x="10016067" y="467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27</xdr:row>
      <xdr:rowOff>2009775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F5BA1E76-85CA-4D5B-8A55-E4CC1A23B871}"/>
            </a:ext>
          </a:extLst>
        </xdr:cNvPr>
        <xdr:cNvSpPr txBox="1"/>
      </xdr:nvSpPr>
      <xdr:spPr>
        <a:xfrm>
          <a:off x="10016067" y="4992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38</xdr:row>
      <xdr:rowOff>0</xdr:rowOff>
    </xdr:from>
    <xdr:ext cx="1266825" cy="45720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B24AD37F-7FB9-4E46-AF26-72E6C4DB4DAF}"/>
            </a:ext>
          </a:extLst>
        </xdr:cNvPr>
        <xdr:cNvSpPr txBox="1"/>
      </xdr:nvSpPr>
      <xdr:spPr>
        <a:xfrm>
          <a:off x="9873192" y="17187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38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C94FFD33-0837-4D7A-82F1-3BD6F1718CA7}"/>
            </a:ext>
          </a:extLst>
        </xdr:cNvPr>
        <xdr:cNvSpPr txBox="1"/>
      </xdr:nvSpPr>
      <xdr:spPr>
        <a:xfrm>
          <a:off x="10016067" y="17187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38</xdr:row>
      <xdr:rowOff>0</xdr:rowOff>
    </xdr:from>
    <xdr:ext cx="1266825" cy="45720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26F62E4A-6098-470E-A770-6579BDC2F3C7}"/>
            </a:ext>
          </a:extLst>
        </xdr:cNvPr>
        <xdr:cNvSpPr txBox="1"/>
      </xdr:nvSpPr>
      <xdr:spPr>
        <a:xfrm>
          <a:off x="9873192" y="17187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38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CB6C5661-FE51-4613-A173-0CC4E1C6801F}"/>
            </a:ext>
          </a:extLst>
        </xdr:cNvPr>
        <xdr:cNvSpPr txBox="1"/>
      </xdr:nvSpPr>
      <xdr:spPr>
        <a:xfrm>
          <a:off x="10016067" y="17187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38</xdr:row>
      <xdr:rowOff>0</xdr:rowOff>
    </xdr:from>
    <xdr:ext cx="1266825" cy="45720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87DEFF22-7815-4F44-8A84-1ED7FAF6B185}"/>
            </a:ext>
          </a:extLst>
        </xdr:cNvPr>
        <xdr:cNvSpPr txBox="1"/>
      </xdr:nvSpPr>
      <xdr:spPr>
        <a:xfrm>
          <a:off x="9873192" y="17187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38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BFEFE26B-EF03-4EAD-B4B3-535D61398EDE}"/>
            </a:ext>
          </a:extLst>
        </xdr:cNvPr>
        <xdr:cNvSpPr txBox="1"/>
      </xdr:nvSpPr>
      <xdr:spPr>
        <a:xfrm>
          <a:off x="10016067" y="17187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38</xdr:row>
      <xdr:rowOff>0</xdr:rowOff>
    </xdr:from>
    <xdr:ext cx="1266825" cy="45720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C1A681BE-EE43-49C6-9C3A-3F37DDF9A414}"/>
            </a:ext>
          </a:extLst>
        </xdr:cNvPr>
        <xdr:cNvSpPr txBox="1"/>
      </xdr:nvSpPr>
      <xdr:spPr>
        <a:xfrm>
          <a:off x="9873192" y="17187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38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F68ABA69-F1A9-42D3-B21C-7A20403B3BD0}"/>
            </a:ext>
          </a:extLst>
        </xdr:cNvPr>
        <xdr:cNvSpPr txBox="1"/>
      </xdr:nvSpPr>
      <xdr:spPr>
        <a:xfrm>
          <a:off x="10016067" y="17187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id-3dcf498e-f30a-4249-a9e2-c56e07725a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Код_по_ОКПД2"/>
      <sheetName val="Единица_измерения"/>
      <sheetName val="Код_по_ОКВЭД2"/>
      <sheetName val="Тип_объекта_закупки"/>
      <sheetName val="grid-3dcf498e-f30a-4249-a9e2-c5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nzdrav.midural.ru/article/show/id/15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zakupki.gov.ru/epz/contract/contractCard/payment-info-and-target-of-order.html?reestrNumber=3741700143326000095&amp;contractInfoId=111667604" TargetMode="External"/><Relationship Id="rId7" Type="http://schemas.openxmlformats.org/officeDocument/2006/relationships/hyperlink" Target="https://zakupki.gov.ru/epz/contract/contractCard/payment-info-and-target-of-order.html?reestrNumber=1745321598426000300&amp;contractInfoId=110818946" TargetMode="External"/><Relationship Id="rId2" Type="http://schemas.openxmlformats.org/officeDocument/2006/relationships/hyperlink" Target="https://zakupki.gov.ru/epz/contract/contractCard/payment-info-and-target-of-order.html?reestrNumber=1666403396725000262&amp;contractInfoId=108973978" TargetMode="External"/><Relationship Id="rId1" Type="http://schemas.openxmlformats.org/officeDocument/2006/relationships/hyperlink" Target="https://zakupki.gov.ru/epz/contract/contractCard/payment-info-and-target-of-order.html?reestrNumber=2481600341226000240&amp;contractInfoId=111590220" TargetMode="External"/><Relationship Id="rId6" Type="http://schemas.openxmlformats.org/officeDocument/2006/relationships/hyperlink" Target="https://zakupki.gov.ru/epz/contract/contractCard/payment-info-and-target-of-order.html?reestrNumber=2860200080626000402&amp;contractInfoId=110374576" TargetMode="External"/><Relationship Id="rId5" Type="http://schemas.openxmlformats.org/officeDocument/2006/relationships/hyperlink" Target="https://zakupki.gov.ru/epz/contract/contractCard/payment-info-and-target-of-order.html?reestrNumber=2720216180726000519&amp;contractInfoId=110763454" TargetMode="External"/><Relationship Id="rId4" Type="http://schemas.openxmlformats.org/officeDocument/2006/relationships/hyperlink" Target="https://zakupki.gov.ru/epz/contract/contractCard/payment-info-and-target-of-order.html?reestrNumber=1742200120626000280&amp;contractInfoId=111155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6"/>
  <sheetViews>
    <sheetView tabSelected="1" topLeftCell="A37" zoomScale="90" zoomScaleNormal="90" workbookViewId="0">
      <selection activeCell="S39" sqref="S39"/>
    </sheetView>
  </sheetViews>
  <sheetFormatPr defaultRowHeight="15"/>
  <cols>
    <col min="1" max="1" width="4.42578125" customWidth="1"/>
    <col min="2" max="2" width="22" customWidth="1"/>
    <col min="3" max="3" width="22.5703125" customWidth="1"/>
    <col min="4" max="4" width="8" customWidth="1"/>
    <col min="5" max="5" width="9.85546875" customWidth="1"/>
    <col min="6" max="10" width="11.42578125" customWidth="1"/>
    <col min="11" max="11" width="11.140625" customWidth="1"/>
    <col min="12" max="12" width="11.42578125" customWidth="1"/>
    <col min="13" max="13" width="16.140625" customWidth="1"/>
    <col min="14" max="15" width="13.42578125" customWidth="1"/>
    <col min="16" max="16" width="15.140625" customWidth="1"/>
    <col min="17" max="17" width="13.85546875" customWidth="1"/>
    <col min="18" max="18" width="13" style="62" customWidth="1"/>
    <col min="19" max="19" width="15" customWidth="1"/>
  </cols>
  <sheetData>
    <row r="1" spans="1:20" ht="53.4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20" t="s">
        <v>24</v>
      </c>
      <c r="L1" s="120"/>
      <c r="M1" s="120"/>
      <c r="N1" s="120"/>
      <c r="O1" s="120"/>
      <c r="P1" s="120"/>
      <c r="Q1" s="139"/>
      <c r="R1" s="61"/>
      <c r="S1" s="1"/>
      <c r="T1" s="1"/>
    </row>
    <row r="2" spans="1:20" ht="15.75">
      <c r="A2" s="1"/>
      <c r="B2" s="2"/>
      <c r="C2" s="122" t="s">
        <v>19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39"/>
      <c r="R2" s="61"/>
      <c r="S2" s="1"/>
      <c r="T2" s="1"/>
    </row>
    <row r="3" spans="1:20" ht="25.7" customHeight="1">
      <c r="A3" s="1"/>
      <c r="B3" s="132" t="s">
        <v>146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"/>
      <c r="N3" s="1"/>
      <c r="O3" s="1"/>
      <c r="P3" s="1"/>
      <c r="Q3" s="139"/>
      <c r="R3" s="61"/>
      <c r="S3" s="1"/>
      <c r="T3" s="1"/>
    </row>
    <row r="4" spans="1:20" ht="39" customHeight="1">
      <c r="A4" s="113"/>
      <c r="B4" s="123" t="s">
        <v>0</v>
      </c>
      <c r="C4" s="123" t="s">
        <v>1</v>
      </c>
      <c r="D4" s="123" t="s">
        <v>2</v>
      </c>
      <c r="E4" s="123" t="s">
        <v>17</v>
      </c>
      <c r="F4" s="111" t="s">
        <v>29</v>
      </c>
      <c r="G4" s="112"/>
      <c r="H4" s="112"/>
      <c r="I4" s="112"/>
      <c r="J4" s="67"/>
      <c r="K4" s="123" t="s">
        <v>3</v>
      </c>
      <c r="L4" s="123"/>
      <c r="M4" s="128" t="s">
        <v>18</v>
      </c>
      <c r="N4" s="128"/>
      <c r="O4" s="129"/>
      <c r="P4" s="133"/>
      <c r="Q4" s="139"/>
      <c r="R4" s="61"/>
      <c r="S4" s="1"/>
      <c r="T4" s="1"/>
    </row>
    <row r="5" spans="1:20" ht="93.75" customHeight="1">
      <c r="A5" s="114"/>
      <c r="B5" s="123"/>
      <c r="C5" s="123"/>
      <c r="D5" s="123"/>
      <c r="E5" s="123"/>
      <c r="F5" s="40" t="s">
        <v>25</v>
      </c>
      <c r="G5" s="40" t="s">
        <v>26</v>
      </c>
      <c r="H5" s="40" t="s">
        <v>27</v>
      </c>
      <c r="I5" s="40" t="s">
        <v>23</v>
      </c>
      <c r="J5" s="40" t="s">
        <v>34</v>
      </c>
      <c r="K5" s="41" t="s">
        <v>4</v>
      </c>
      <c r="L5" s="41" t="s">
        <v>5</v>
      </c>
      <c r="M5" s="41" t="s">
        <v>6</v>
      </c>
      <c r="N5" s="49" t="s">
        <v>31</v>
      </c>
      <c r="O5" s="42" t="s">
        <v>7</v>
      </c>
      <c r="P5" s="134" t="s">
        <v>8</v>
      </c>
      <c r="Q5" s="140"/>
      <c r="S5" s="3"/>
      <c r="T5" s="3"/>
    </row>
    <row r="6" spans="1:20">
      <c r="A6" s="35"/>
      <c r="B6" s="51">
        <v>1</v>
      </c>
      <c r="C6" s="52">
        <v>2</v>
      </c>
      <c r="D6" s="52">
        <v>3</v>
      </c>
      <c r="E6" s="52">
        <v>4</v>
      </c>
      <c r="F6" s="6">
        <v>5</v>
      </c>
      <c r="G6" s="6">
        <v>6</v>
      </c>
      <c r="H6" s="4">
        <v>7</v>
      </c>
      <c r="I6" s="5">
        <v>8</v>
      </c>
      <c r="J6" s="5">
        <v>9</v>
      </c>
      <c r="K6" s="5">
        <v>10</v>
      </c>
      <c r="L6" s="5">
        <v>11</v>
      </c>
      <c r="M6" s="5">
        <v>12</v>
      </c>
      <c r="N6" s="5">
        <v>13</v>
      </c>
      <c r="O6" s="5">
        <v>14</v>
      </c>
      <c r="P6" s="135">
        <v>15</v>
      </c>
      <c r="Q6" s="35"/>
      <c r="R6" s="63"/>
      <c r="S6" s="1"/>
      <c r="T6" s="1"/>
    </row>
    <row r="7" spans="1:20" ht="42.75" customHeight="1">
      <c r="A7" s="50">
        <v>1</v>
      </c>
      <c r="B7" s="92" t="s">
        <v>37</v>
      </c>
      <c r="C7" s="81" t="s">
        <v>69</v>
      </c>
      <c r="D7" s="106" t="s">
        <v>30</v>
      </c>
      <c r="E7" s="105">
        <v>5</v>
      </c>
      <c r="F7" s="94">
        <v>2999.8</v>
      </c>
      <c r="G7" s="95">
        <v>2999.95</v>
      </c>
      <c r="H7" s="95">
        <v>2999</v>
      </c>
      <c r="I7" s="96">
        <v>2886.7</v>
      </c>
      <c r="J7" s="96">
        <v>1954.26</v>
      </c>
      <c r="K7" s="7">
        <f>STDEVA(F7:J7)/(SUM(F7:I7)/COUNTIF(F7:I7,"&gt;0"))</f>
        <v>0.15396337923463574</v>
      </c>
      <c r="L7" s="8">
        <f t="shared" ref="L7:L40" si="0">ROUND(AVERAGE(F7:J7),2)</f>
        <v>2767.94</v>
      </c>
      <c r="M7" s="9">
        <f t="shared" ref="M7:M40" si="1">((E7/5)*(SUM(F7:J7)))</f>
        <v>13839.710000000001</v>
      </c>
      <c r="N7" s="53">
        <v>3476.08</v>
      </c>
      <c r="O7" s="27">
        <v>2767.94</v>
      </c>
      <c r="P7" s="136">
        <f t="shared" ref="P7:P40" si="2">E7*O7</f>
        <v>13839.7</v>
      </c>
      <c r="Q7" s="138" t="s">
        <v>235</v>
      </c>
      <c r="R7" s="59"/>
      <c r="S7" s="28"/>
      <c r="T7" s="11"/>
    </row>
    <row r="8" spans="1:20" ht="31.7" customHeight="1">
      <c r="A8" s="50">
        <v>2</v>
      </c>
      <c r="B8" s="92" t="s">
        <v>38</v>
      </c>
      <c r="C8" s="81" t="s">
        <v>70</v>
      </c>
      <c r="D8" s="106" t="s">
        <v>30</v>
      </c>
      <c r="E8" s="105">
        <v>50</v>
      </c>
      <c r="F8" s="97">
        <v>200.1</v>
      </c>
      <c r="G8" s="95">
        <v>200.3</v>
      </c>
      <c r="H8" s="95">
        <v>200</v>
      </c>
      <c r="I8" s="98">
        <v>228</v>
      </c>
      <c r="J8" s="98">
        <v>174</v>
      </c>
      <c r="K8" s="7">
        <f t="shared" ref="K8:K40" si="3">STDEVA(F8:J8)/(SUM(F8:I8)/COUNTIF(F8:I8,"&gt;0"))</f>
        <v>9.2216749925767907E-2</v>
      </c>
      <c r="L8" s="8">
        <f t="shared" si="0"/>
        <v>200.48</v>
      </c>
      <c r="M8" s="9">
        <f t="shared" si="1"/>
        <v>10024</v>
      </c>
      <c r="N8" s="53">
        <v>229.68</v>
      </c>
      <c r="O8" s="27">
        <v>200.48</v>
      </c>
      <c r="P8" s="136">
        <f t="shared" si="2"/>
        <v>10024</v>
      </c>
      <c r="Q8" s="137" t="s">
        <v>236</v>
      </c>
      <c r="R8" s="59"/>
      <c r="S8" s="28"/>
      <c r="T8" s="11"/>
    </row>
    <row r="9" spans="1:20" ht="31.5" customHeight="1">
      <c r="A9" s="50">
        <v>3</v>
      </c>
      <c r="B9" s="92" t="s">
        <v>39</v>
      </c>
      <c r="C9" s="81" t="s">
        <v>71</v>
      </c>
      <c r="D9" s="106" t="s">
        <v>30</v>
      </c>
      <c r="E9" s="105">
        <v>20</v>
      </c>
      <c r="F9" s="99">
        <v>89.5</v>
      </c>
      <c r="G9" s="95">
        <v>89.6</v>
      </c>
      <c r="H9" s="95">
        <v>89</v>
      </c>
      <c r="I9" s="98">
        <v>71.400000000000006</v>
      </c>
      <c r="J9" s="98">
        <v>86.12</v>
      </c>
      <c r="K9" s="7">
        <f t="shared" si="3"/>
        <v>9.193525242451725E-2</v>
      </c>
      <c r="L9" s="56">
        <f t="shared" si="0"/>
        <v>85.12</v>
      </c>
      <c r="M9" s="9">
        <f t="shared" si="1"/>
        <v>1702.48</v>
      </c>
      <c r="N9" s="57">
        <v>74.05</v>
      </c>
      <c r="O9" s="58">
        <v>85.12</v>
      </c>
      <c r="P9" s="136">
        <f t="shared" si="2"/>
        <v>1702.4</v>
      </c>
      <c r="Q9" s="137" t="s">
        <v>237</v>
      </c>
      <c r="R9" s="60"/>
      <c r="S9" s="28"/>
      <c r="T9" s="11"/>
    </row>
    <row r="10" spans="1:20" ht="18.75" customHeight="1">
      <c r="A10" s="50">
        <v>4</v>
      </c>
      <c r="B10" s="92" t="s">
        <v>39</v>
      </c>
      <c r="C10" s="81" t="s">
        <v>72</v>
      </c>
      <c r="D10" s="106" t="s">
        <v>30</v>
      </c>
      <c r="E10" s="105">
        <v>30</v>
      </c>
      <c r="F10" s="94">
        <v>180.2</v>
      </c>
      <c r="G10" s="95">
        <v>180.4</v>
      </c>
      <c r="H10" s="95">
        <v>180</v>
      </c>
      <c r="I10" s="96">
        <v>120</v>
      </c>
      <c r="J10" s="96">
        <v>117.6</v>
      </c>
      <c r="K10" s="7">
        <f t="shared" si="3"/>
        <v>0.20370066763092562</v>
      </c>
      <c r="L10" s="8">
        <f t="shared" si="0"/>
        <v>155.63999999999999</v>
      </c>
      <c r="M10" s="9">
        <f t="shared" si="1"/>
        <v>4669.2000000000007</v>
      </c>
      <c r="N10" s="53">
        <v>142.4</v>
      </c>
      <c r="O10" s="27">
        <v>155.63999999999999</v>
      </c>
      <c r="P10" s="136">
        <f t="shared" si="2"/>
        <v>4669.2</v>
      </c>
      <c r="Q10" s="137" t="s">
        <v>237</v>
      </c>
      <c r="R10" s="60"/>
      <c r="S10" s="28"/>
      <c r="T10" s="11"/>
    </row>
    <row r="11" spans="1:20" ht="24.75" customHeight="1">
      <c r="A11" s="50">
        <v>5</v>
      </c>
      <c r="B11" s="92" t="s">
        <v>40</v>
      </c>
      <c r="C11" s="81" t="s">
        <v>73</v>
      </c>
      <c r="D11" s="106" t="s">
        <v>30</v>
      </c>
      <c r="E11" s="105">
        <v>200</v>
      </c>
      <c r="F11" s="94">
        <v>94.6</v>
      </c>
      <c r="G11" s="95">
        <v>97.8</v>
      </c>
      <c r="H11" s="95">
        <v>94.5</v>
      </c>
      <c r="I11" s="96">
        <v>130</v>
      </c>
      <c r="J11" s="96">
        <v>61.1</v>
      </c>
      <c r="K11" s="7">
        <f t="shared" si="3"/>
        <v>0.23407055669090629</v>
      </c>
      <c r="L11" s="8">
        <f t="shared" si="0"/>
        <v>95.6</v>
      </c>
      <c r="M11" s="9">
        <f t="shared" si="1"/>
        <v>19120</v>
      </c>
      <c r="N11" s="53">
        <v>95.68</v>
      </c>
      <c r="O11" s="58">
        <v>95.6</v>
      </c>
      <c r="P11" s="136">
        <f t="shared" si="2"/>
        <v>19120</v>
      </c>
      <c r="Q11" s="137" t="s">
        <v>238</v>
      </c>
      <c r="R11" s="59"/>
      <c r="S11" s="28"/>
      <c r="T11" s="11"/>
    </row>
    <row r="12" spans="1:20" ht="33.75" customHeight="1">
      <c r="A12" s="50">
        <v>6</v>
      </c>
      <c r="B12" s="92" t="s">
        <v>41</v>
      </c>
      <c r="C12" s="81" t="s">
        <v>74</v>
      </c>
      <c r="D12" s="106" t="s">
        <v>30</v>
      </c>
      <c r="E12" s="105">
        <v>100</v>
      </c>
      <c r="F12" s="94">
        <v>128.1</v>
      </c>
      <c r="G12" s="95">
        <v>128.25</v>
      </c>
      <c r="H12" s="95">
        <v>128</v>
      </c>
      <c r="I12" s="96">
        <v>128.26</v>
      </c>
      <c r="J12" s="96">
        <v>125.8</v>
      </c>
      <c r="K12" s="7">
        <f t="shared" si="3"/>
        <v>8.2530448859777245E-3</v>
      </c>
      <c r="L12" s="8">
        <f t="shared" si="0"/>
        <v>127.68</v>
      </c>
      <c r="M12" s="9">
        <f t="shared" si="1"/>
        <v>12768.199999999999</v>
      </c>
      <c r="N12" s="53">
        <v>128.26</v>
      </c>
      <c r="O12" s="58">
        <v>127.68</v>
      </c>
      <c r="P12" s="136">
        <f t="shared" si="2"/>
        <v>12768</v>
      </c>
      <c r="Q12" s="137" t="s">
        <v>239</v>
      </c>
      <c r="R12" s="60"/>
      <c r="S12" s="28"/>
      <c r="T12" s="11"/>
    </row>
    <row r="13" spans="1:20" ht="31.7" customHeight="1">
      <c r="A13" s="50">
        <v>7</v>
      </c>
      <c r="B13" s="92" t="s">
        <v>42</v>
      </c>
      <c r="C13" s="81" t="s">
        <v>75</v>
      </c>
      <c r="D13" s="106" t="s">
        <v>30</v>
      </c>
      <c r="E13" s="105">
        <v>5</v>
      </c>
      <c r="F13" s="94">
        <v>98.2</v>
      </c>
      <c r="G13" s="95">
        <v>98.5</v>
      </c>
      <c r="H13" s="95">
        <v>98</v>
      </c>
      <c r="I13" s="96">
        <v>96.3</v>
      </c>
      <c r="J13" s="96">
        <v>96</v>
      </c>
      <c r="K13" s="7">
        <f t="shared" si="3"/>
        <v>1.1864361641681035E-2</v>
      </c>
      <c r="L13" s="8">
        <f t="shared" si="0"/>
        <v>97.4</v>
      </c>
      <c r="M13" s="9">
        <f t="shared" si="1"/>
        <v>487</v>
      </c>
      <c r="N13" s="53">
        <v>98.9</v>
      </c>
      <c r="O13" s="27">
        <v>97.4</v>
      </c>
      <c r="P13" s="136">
        <f t="shared" si="2"/>
        <v>487</v>
      </c>
      <c r="Q13" s="137" t="s">
        <v>240</v>
      </c>
      <c r="R13" s="59"/>
      <c r="S13" s="28"/>
      <c r="T13" s="11"/>
    </row>
    <row r="14" spans="1:20" ht="33" customHeight="1">
      <c r="A14" s="50">
        <v>8</v>
      </c>
      <c r="B14" s="92" t="s">
        <v>42</v>
      </c>
      <c r="C14" s="81" t="s">
        <v>76</v>
      </c>
      <c r="D14" s="106" t="s">
        <v>30</v>
      </c>
      <c r="E14" s="105">
        <v>10</v>
      </c>
      <c r="F14" s="94">
        <v>184.1</v>
      </c>
      <c r="G14" s="95">
        <v>184.5</v>
      </c>
      <c r="H14" s="95">
        <v>184</v>
      </c>
      <c r="I14" s="96">
        <v>180.4</v>
      </c>
      <c r="J14" s="96">
        <v>129.99</v>
      </c>
      <c r="K14" s="7">
        <f t="shared" si="3"/>
        <v>0.13029248159494139</v>
      </c>
      <c r="L14" s="8">
        <f t="shared" si="0"/>
        <v>172.6</v>
      </c>
      <c r="M14" s="9">
        <f t="shared" si="1"/>
        <v>1725.98</v>
      </c>
      <c r="N14" s="53">
        <v>170.69</v>
      </c>
      <c r="O14" s="27">
        <v>172.6</v>
      </c>
      <c r="P14" s="136">
        <f t="shared" si="2"/>
        <v>1726</v>
      </c>
      <c r="Q14" s="137" t="s">
        <v>240</v>
      </c>
      <c r="R14" s="60"/>
      <c r="S14" s="28"/>
      <c r="T14" s="11"/>
    </row>
    <row r="15" spans="1:20" ht="37.700000000000003" customHeight="1">
      <c r="A15" s="50">
        <v>9</v>
      </c>
      <c r="B15" s="92" t="s">
        <v>43</v>
      </c>
      <c r="C15" s="81" t="s">
        <v>77</v>
      </c>
      <c r="D15" s="106" t="s">
        <v>30</v>
      </c>
      <c r="E15" s="105">
        <v>100</v>
      </c>
      <c r="F15" s="94">
        <v>139.6</v>
      </c>
      <c r="G15" s="95">
        <v>139.80000000000001</v>
      </c>
      <c r="H15" s="95">
        <v>139</v>
      </c>
      <c r="I15" s="96">
        <v>136.19999999999999</v>
      </c>
      <c r="J15" s="96">
        <v>98.22</v>
      </c>
      <c r="K15" s="7">
        <f t="shared" si="3"/>
        <v>0.13082207459065515</v>
      </c>
      <c r="L15" s="8">
        <f t="shared" si="0"/>
        <v>130.56</v>
      </c>
      <c r="M15" s="9">
        <f t="shared" si="1"/>
        <v>13056.399999999998</v>
      </c>
      <c r="N15" s="53">
        <v>140.36000000000001</v>
      </c>
      <c r="O15" s="27">
        <v>130.56</v>
      </c>
      <c r="P15" s="136">
        <f t="shared" si="2"/>
        <v>13056</v>
      </c>
      <c r="Q15" s="137" t="s">
        <v>241</v>
      </c>
      <c r="R15" s="59"/>
      <c r="S15" s="28"/>
      <c r="T15" s="11"/>
    </row>
    <row r="16" spans="1:20" ht="42" customHeight="1">
      <c r="A16" s="50">
        <v>10</v>
      </c>
      <c r="B16" s="92" t="s">
        <v>44</v>
      </c>
      <c r="C16" s="81" t="s">
        <v>78</v>
      </c>
      <c r="D16" s="106" t="s">
        <v>30</v>
      </c>
      <c r="E16" s="105">
        <v>50</v>
      </c>
      <c r="F16" s="94">
        <v>1620.5</v>
      </c>
      <c r="G16" s="95">
        <v>1620.6</v>
      </c>
      <c r="H16" s="95">
        <v>1620</v>
      </c>
      <c r="I16" s="96">
        <v>1938</v>
      </c>
      <c r="J16" s="96">
        <v>1320</v>
      </c>
      <c r="K16" s="7">
        <f t="shared" si="3"/>
        <v>0.12857423856098099</v>
      </c>
      <c r="L16" s="8">
        <f t="shared" si="0"/>
        <v>1623.82</v>
      </c>
      <c r="M16" s="9">
        <f t="shared" si="1"/>
        <v>81191</v>
      </c>
      <c r="N16" s="53">
        <v>1596.78</v>
      </c>
      <c r="O16" s="27">
        <v>1623.82</v>
      </c>
      <c r="P16" s="136">
        <f t="shared" si="2"/>
        <v>81191</v>
      </c>
      <c r="Q16" s="137" t="s">
        <v>242</v>
      </c>
      <c r="R16" s="60"/>
      <c r="S16" s="28"/>
      <c r="T16" s="11"/>
    </row>
    <row r="17" spans="1:20" ht="31.7" customHeight="1">
      <c r="A17" s="50">
        <v>11</v>
      </c>
      <c r="B17" s="92" t="s">
        <v>45</v>
      </c>
      <c r="C17" s="81" t="s">
        <v>79</v>
      </c>
      <c r="D17" s="106" t="s">
        <v>30</v>
      </c>
      <c r="E17" s="105">
        <v>10</v>
      </c>
      <c r="F17" s="94">
        <v>1600.5</v>
      </c>
      <c r="G17" s="95">
        <v>1600.8</v>
      </c>
      <c r="H17" s="95">
        <v>1600</v>
      </c>
      <c r="I17" s="96">
        <v>1093</v>
      </c>
      <c r="J17" s="96">
        <v>1181</v>
      </c>
      <c r="K17" s="7">
        <f t="shared" si="3"/>
        <v>0.17354577005943278</v>
      </c>
      <c r="L17" s="8">
        <f t="shared" si="0"/>
        <v>1415.06</v>
      </c>
      <c r="M17" s="9">
        <f t="shared" si="1"/>
        <v>14150.6</v>
      </c>
      <c r="N17" s="53">
        <v>1357.4</v>
      </c>
      <c r="O17" s="27">
        <v>1415.06</v>
      </c>
      <c r="P17" s="136">
        <f t="shared" si="2"/>
        <v>14150.599999999999</v>
      </c>
      <c r="Q17" s="137" t="s">
        <v>243</v>
      </c>
      <c r="R17" s="59"/>
      <c r="S17" s="28"/>
      <c r="T17" s="11"/>
    </row>
    <row r="18" spans="1:20" ht="31.7" customHeight="1">
      <c r="A18" s="50">
        <v>12</v>
      </c>
      <c r="B18" s="92" t="s">
        <v>46</v>
      </c>
      <c r="C18" s="81" t="s">
        <v>80</v>
      </c>
      <c r="D18" s="106" t="s">
        <v>30</v>
      </c>
      <c r="E18" s="105">
        <v>25</v>
      </c>
      <c r="F18" s="94">
        <v>26.4</v>
      </c>
      <c r="G18" s="95">
        <v>26.5</v>
      </c>
      <c r="H18" s="95">
        <v>26</v>
      </c>
      <c r="I18" s="96">
        <v>26.72</v>
      </c>
      <c r="J18" s="96">
        <v>26.6</v>
      </c>
      <c r="K18" s="7">
        <f t="shared" si="3"/>
        <v>1.0418480659904956E-2</v>
      </c>
      <c r="L18" s="8">
        <f t="shared" si="0"/>
        <v>26.44</v>
      </c>
      <c r="M18" s="9">
        <f t="shared" si="1"/>
        <v>661.1</v>
      </c>
      <c r="N18" s="53">
        <v>83.38</v>
      </c>
      <c r="O18" s="27">
        <v>26.44</v>
      </c>
      <c r="P18" s="136">
        <f t="shared" si="2"/>
        <v>661</v>
      </c>
      <c r="Q18" s="137" t="s">
        <v>244</v>
      </c>
      <c r="R18" s="59"/>
      <c r="S18" s="28"/>
      <c r="T18" s="11"/>
    </row>
    <row r="19" spans="1:20" ht="33" customHeight="1">
      <c r="A19" s="50">
        <v>13</v>
      </c>
      <c r="B19" s="92" t="s">
        <v>47</v>
      </c>
      <c r="C19" s="81" t="s">
        <v>81</v>
      </c>
      <c r="D19" s="106" t="s">
        <v>30</v>
      </c>
      <c r="E19" s="105">
        <v>200</v>
      </c>
      <c r="F19" s="94">
        <v>44.97</v>
      </c>
      <c r="G19" s="95">
        <v>44.97</v>
      </c>
      <c r="H19" s="95">
        <v>44.96</v>
      </c>
      <c r="I19" s="96">
        <v>50.8</v>
      </c>
      <c r="J19" s="96">
        <v>45.2</v>
      </c>
      <c r="K19" s="7">
        <f t="shared" si="3"/>
        <v>5.5673393760042475E-2</v>
      </c>
      <c r="L19" s="8">
        <f t="shared" si="0"/>
        <v>46.18</v>
      </c>
      <c r="M19" s="9">
        <f t="shared" si="1"/>
        <v>9236</v>
      </c>
      <c r="N19" s="53">
        <v>50.05</v>
      </c>
      <c r="O19" s="58">
        <v>46.18</v>
      </c>
      <c r="P19" s="136">
        <f t="shared" si="2"/>
        <v>9236</v>
      </c>
      <c r="Q19" s="137" t="s">
        <v>238</v>
      </c>
      <c r="R19" s="60"/>
      <c r="S19" s="28"/>
      <c r="T19" s="11"/>
    </row>
    <row r="20" spans="1:20" ht="31.7" customHeight="1">
      <c r="A20" s="50">
        <v>14</v>
      </c>
      <c r="B20" s="92" t="s">
        <v>48</v>
      </c>
      <c r="C20" s="81" t="s">
        <v>82</v>
      </c>
      <c r="D20" s="106" t="s">
        <v>30</v>
      </c>
      <c r="E20" s="105">
        <v>20</v>
      </c>
      <c r="F20" s="94">
        <v>78.5</v>
      </c>
      <c r="G20" s="95">
        <v>78.7</v>
      </c>
      <c r="H20" s="95">
        <v>78</v>
      </c>
      <c r="I20" s="96">
        <v>71.34</v>
      </c>
      <c r="J20" s="96">
        <v>73.2</v>
      </c>
      <c r="K20" s="7">
        <f t="shared" si="3"/>
        <v>4.4768306180850891E-2</v>
      </c>
      <c r="L20" s="8">
        <f t="shared" si="0"/>
        <v>75.95</v>
      </c>
      <c r="M20" s="9">
        <f t="shared" si="1"/>
        <v>1518.9599999999998</v>
      </c>
      <c r="N20" s="53">
        <v>79.48</v>
      </c>
      <c r="O20" s="58">
        <v>75.95</v>
      </c>
      <c r="P20" s="136">
        <f t="shared" si="2"/>
        <v>1519</v>
      </c>
      <c r="Q20" s="137" t="s">
        <v>244</v>
      </c>
      <c r="R20" s="59"/>
      <c r="S20" s="28"/>
      <c r="T20" s="11"/>
    </row>
    <row r="21" spans="1:20" ht="31.7" customHeight="1">
      <c r="A21" s="50">
        <v>15</v>
      </c>
      <c r="B21" s="92" t="s">
        <v>49</v>
      </c>
      <c r="C21" s="81" t="s">
        <v>83</v>
      </c>
      <c r="D21" s="106" t="s">
        <v>30</v>
      </c>
      <c r="E21" s="105">
        <v>1</v>
      </c>
      <c r="F21" s="94">
        <v>900.05</v>
      </c>
      <c r="G21" s="95">
        <v>900.11</v>
      </c>
      <c r="H21" s="95">
        <v>900</v>
      </c>
      <c r="I21" s="96">
        <v>792</v>
      </c>
      <c r="J21" s="96">
        <v>704</v>
      </c>
      <c r="K21" s="7">
        <f t="shared" si="3"/>
        <v>0.10183361168872225</v>
      </c>
      <c r="L21" s="8">
        <f t="shared" si="0"/>
        <v>839.23</v>
      </c>
      <c r="M21" s="9">
        <f t="shared" si="1"/>
        <v>839.23199999999997</v>
      </c>
      <c r="N21" s="53">
        <v>900.12</v>
      </c>
      <c r="O21" s="58">
        <v>839.23</v>
      </c>
      <c r="P21" s="136">
        <f t="shared" si="2"/>
        <v>839.23</v>
      </c>
      <c r="Q21" s="137" t="s">
        <v>245</v>
      </c>
      <c r="R21" s="59"/>
      <c r="S21" s="28"/>
      <c r="T21" s="11"/>
    </row>
    <row r="22" spans="1:20" ht="34.5" customHeight="1">
      <c r="A22" s="50">
        <v>16</v>
      </c>
      <c r="B22" s="92" t="s">
        <v>50</v>
      </c>
      <c r="C22" s="81" t="s">
        <v>84</v>
      </c>
      <c r="D22" s="106" t="s">
        <v>30</v>
      </c>
      <c r="E22" s="105">
        <v>10</v>
      </c>
      <c r="F22" s="94">
        <v>93.01</v>
      </c>
      <c r="G22" s="95">
        <v>93.5</v>
      </c>
      <c r="H22" s="95">
        <v>93</v>
      </c>
      <c r="I22" s="96">
        <v>119.81</v>
      </c>
      <c r="J22" s="96">
        <v>87.6</v>
      </c>
      <c r="K22" s="7">
        <f t="shared" ref="K22:K31" si="4">STDEVA(F22:J22)/(SUM(F22:I22)/COUNTIF(F22:I22,"&gt;0"))</f>
        <v>0.12789758488543523</v>
      </c>
      <c r="L22" s="8">
        <f t="shared" ref="L22:L31" si="5">ROUND(AVERAGE(F22:J22),2)</f>
        <v>97.38</v>
      </c>
      <c r="M22" s="9">
        <f t="shared" si="1"/>
        <v>973.83999999999992</v>
      </c>
      <c r="N22" s="53">
        <v>112.92</v>
      </c>
      <c r="O22" s="58">
        <v>97.38</v>
      </c>
      <c r="P22" s="136">
        <f t="shared" ref="P22:P31" si="6">E22*O22</f>
        <v>973.8</v>
      </c>
      <c r="Q22" s="137" t="s">
        <v>246</v>
      </c>
      <c r="R22" s="60"/>
      <c r="S22" s="28"/>
      <c r="T22" s="11"/>
    </row>
    <row r="23" spans="1:20" ht="31.7" customHeight="1">
      <c r="A23" s="50">
        <v>17</v>
      </c>
      <c r="B23" s="93" t="s">
        <v>51</v>
      </c>
      <c r="C23" s="81" t="s">
        <v>85</v>
      </c>
      <c r="D23" s="106" t="s">
        <v>30</v>
      </c>
      <c r="E23" s="105">
        <v>300</v>
      </c>
      <c r="F23" s="94">
        <v>96.2</v>
      </c>
      <c r="G23" s="95">
        <v>96.5</v>
      </c>
      <c r="H23" s="95">
        <v>96</v>
      </c>
      <c r="I23" s="96">
        <v>78</v>
      </c>
      <c r="J23" s="96">
        <v>79</v>
      </c>
      <c r="K23" s="7">
        <f t="shared" si="4"/>
        <v>0.106037722150723</v>
      </c>
      <c r="L23" s="8">
        <f t="shared" si="5"/>
        <v>89.14</v>
      </c>
      <c r="M23" s="9">
        <f t="shared" si="1"/>
        <v>26742</v>
      </c>
      <c r="N23" s="53">
        <v>141.94</v>
      </c>
      <c r="O23" s="27">
        <v>89.14</v>
      </c>
      <c r="P23" s="136">
        <f t="shared" si="6"/>
        <v>26742</v>
      </c>
      <c r="Q23" s="137" t="s">
        <v>247</v>
      </c>
      <c r="R23" s="59"/>
      <c r="S23" s="28"/>
      <c r="T23" s="11"/>
    </row>
    <row r="24" spans="1:20" ht="33.75" customHeight="1">
      <c r="A24" s="50">
        <v>18</v>
      </c>
      <c r="B24" s="92" t="s">
        <v>52</v>
      </c>
      <c r="C24" s="81" t="s">
        <v>86</v>
      </c>
      <c r="D24" s="106" t="s">
        <v>30</v>
      </c>
      <c r="E24" s="105">
        <v>50</v>
      </c>
      <c r="F24" s="94">
        <v>328.1</v>
      </c>
      <c r="G24" s="95">
        <v>328.6</v>
      </c>
      <c r="H24" s="95">
        <v>328</v>
      </c>
      <c r="I24" s="96">
        <v>258</v>
      </c>
      <c r="J24" s="96">
        <v>254</v>
      </c>
      <c r="K24" s="7">
        <f t="shared" si="4"/>
        <v>0.12743138697096154</v>
      </c>
      <c r="L24" s="8">
        <f t="shared" si="5"/>
        <v>299.33999999999997</v>
      </c>
      <c r="M24" s="9">
        <f t="shared" si="1"/>
        <v>14967</v>
      </c>
      <c r="N24" s="53">
        <v>321.32</v>
      </c>
      <c r="O24" s="27">
        <v>299.33999999999997</v>
      </c>
      <c r="P24" s="136">
        <f t="shared" si="6"/>
        <v>14966.999999999998</v>
      </c>
      <c r="Q24" s="137" t="s">
        <v>248</v>
      </c>
      <c r="R24" s="60"/>
      <c r="S24" s="28"/>
      <c r="T24" s="11"/>
    </row>
    <row r="25" spans="1:20" ht="37.700000000000003" customHeight="1">
      <c r="A25" s="50">
        <v>19</v>
      </c>
      <c r="B25" s="93" t="s">
        <v>53</v>
      </c>
      <c r="C25" s="81" t="s">
        <v>87</v>
      </c>
      <c r="D25" s="106" t="s">
        <v>30</v>
      </c>
      <c r="E25" s="105">
        <v>2</v>
      </c>
      <c r="F25" s="94">
        <v>3118.4</v>
      </c>
      <c r="G25" s="95">
        <v>3118.5</v>
      </c>
      <c r="H25" s="95">
        <v>3118</v>
      </c>
      <c r="I25" s="96">
        <v>2420</v>
      </c>
      <c r="J25" s="96">
        <v>2496</v>
      </c>
      <c r="K25" s="7">
        <f t="shared" si="4"/>
        <v>0.1231969871716543</v>
      </c>
      <c r="L25" s="8">
        <f t="shared" si="5"/>
        <v>2854.18</v>
      </c>
      <c r="M25" s="9">
        <f t="shared" si="1"/>
        <v>5708.3600000000006</v>
      </c>
      <c r="N25" s="53">
        <v>2605.2600000000002</v>
      </c>
      <c r="O25" s="27">
        <v>2854.18</v>
      </c>
      <c r="P25" s="136">
        <f t="shared" si="6"/>
        <v>5708.36</v>
      </c>
      <c r="Q25" s="137" t="s">
        <v>249</v>
      </c>
      <c r="R25" s="59"/>
      <c r="S25" s="28"/>
      <c r="T25" s="11"/>
    </row>
    <row r="26" spans="1:20" ht="38.25" customHeight="1">
      <c r="A26" s="50">
        <v>20</v>
      </c>
      <c r="B26" s="92" t="s">
        <v>54</v>
      </c>
      <c r="C26" s="81" t="s">
        <v>88</v>
      </c>
      <c r="D26" s="106" t="s">
        <v>30</v>
      </c>
      <c r="E26" s="105">
        <v>300</v>
      </c>
      <c r="F26" s="94">
        <v>103.5</v>
      </c>
      <c r="G26" s="95">
        <v>103.6</v>
      </c>
      <c r="H26" s="95">
        <v>103</v>
      </c>
      <c r="I26" s="96">
        <v>94</v>
      </c>
      <c r="J26" s="96">
        <v>107.5</v>
      </c>
      <c r="K26" s="7">
        <f t="shared" si="4"/>
        <v>4.938071964424922E-2</v>
      </c>
      <c r="L26" s="8">
        <f t="shared" si="5"/>
        <v>102.32</v>
      </c>
      <c r="M26" s="9">
        <f t="shared" si="1"/>
        <v>30696</v>
      </c>
      <c r="N26" s="53">
        <v>105</v>
      </c>
      <c r="O26" s="27">
        <v>102.32</v>
      </c>
      <c r="P26" s="136">
        <f t="shared" si="6"/>
        <v>30695.999999999996</v>
      </c>
      <c r="Q26" s="137" t="s">
        <v>239</v>
      </c>
      <c r="R26" s="60"/>
      <c r="S26" s="28"/>
      <c r="T26" s="11"/>
    </row>
    <row r="27" spans="1:20" ht="31.7" customHeight="1">
      <c r="A27" s="50">
        <v>21</v>
      </c>
      <c r="B27" s="92" t="s">
        <v>55</v>
      </c>
      <c r="C27" s="81" t="s">
        <v>89</v>
      </c>
      <c r="D27" s="106" t="s">
        <v>30</v>
      </c>
      <c r="E27" s="105">
        <v>2</v>
      </c>
      <c r="F27" s="94">
        <v>4800.6000000000004</v>
      </c>
      <c r="G27" s="95">
        <v>4800.8999999999996</v>
      </c>
      <c r="H27" s="95">
        <v>4800</v>
      </c>
      <c r="I27" s="96">
        <v>4373.6000000000004</v>
      </c>
      <c r="J27" s="96">
        <v>4373.6000000000004</v>
      </c>
      <c r="K27" s="7">
        <f t="shared" si="4"/>
        <v>4.9815550240028192E-2</v>
      </c>
      <c r="L27" s="8">
        <f t="shared" si="5"/>
        <v>4629.74</v>
      </c>
      <c r="M27" s="9">
        <f t="shared" si="1"/>
        <v>9259.48</v>
      </c>
      <c r="N27" s="53">
        <v>4985.8999999999996</v>
      </c>
      <c r="O27" s="27">
        <v>4629.74</v>
      </c>
      <c r="P27" s="136">
        <f t="shared" si="6"/>
        <v>9259.48</v>
      </c>
      <c r="Q27" s="137" t="s">
        <v>250</v>
      </c>
      <c r="R27" s="59"/>
      <c r="S27" s="28"/>
      <c r="T27" s="11"/>
    </row>
    <row r="28" spans="1:20" ht="31.7" customHeight="1">
      <c r="A28" s="50">
        <v>22</v>
      </c>
      <c r="B28" s="92" t="s">
        <v>56</v>
      </c>
      <c r="C28" s="81" t="s">
        <v>90</v>
      </c>
      <c r="D28" s="106" t="s">
        <v>30</v>
      </c>
      <c r="E28" s="105">
        <v>200</v>
      </c>
      <c r="F28" s="94">
        <v>138.5</v>
      </c>
      <c r="G28" s="95">
        <v>138.69999999999999</v>
      </c>
      <c r="H28" s="95">
        <v>138</v>
      </c>
      <c r="I28" s="96">
        <v>135</v>
      </c>
      <c r="J28" s="96">
        <v>82</v>
      </c>
      <c r="K28" s="7">
        <f t="shared" si="4"/>
        <v>0.18093498624412846</v>
      </c>
      <c r="L28" s="8">
        <f t="shared" si="5"/>
        <v>126.44</v>
      </c>
      <c r="M28" s="9">
        <f t="shared" si="1"/>
        <v>25288</v>
      </c>
      <c r="N28" s="53">
        <v>136.35</v>
      </c>
      <c r="O28" s="27">
        <v>126.44</v>
      </c>
      <c r="P28" s="136">
        <f t="shared" si="6"/>
        <v>25288</v>
      </c>
      <c r="Q28" s="141" t="s">
        <v>251</v>
      </c>
      <c r="R28" s="59"/>
      <c r="S28" s="28"/>
      <c r="T28" s="11"/>
    </row>
    <row r="29" spans="1:20" ht="37.5" customHeight="1">
      <c r="A29" s="50">
        <v>23</v>
      </c>
      <c r="B29" s="92" t="s">
        <v>57</v>
      </c>
      <c r="C29" s="81" t="s">
        <v>91</v>
      </c>
      <c r="D29" s="106" t="s">
        <v>30</v>
      </c>
      <c r="E29" s="105">
        <v>50</v>
      </c>
      <c r="F29" s="94">
        <v>153.1</v>
      </c>
      <c r="G29" s="95">
        <v>153.19999999999999</v>
      </c>
      <c r="H29" s="95">
        <v>153</v>
      </c>
      <c r="I29" s="96">
        <v>152</v>
      </c>
      <c r="J29" s="96">
        <v>112</v>
      </c>
      <c r="K29" s="7">
        <f t="shared" si="4"/>
        <v>0.11950822224218083</v>
      </c>
      <c r="L29" s="8">
        <f t="shared" si="5"/>
        <v>144.66</v>
      </c>
      <c r="M29" s="9">
        <f t="shared" si="1"/>
        <v>7233</v>
      </c>
      <c r="N29" s="53">
        <v>159.33000000000001</v>
      </c>
      <c r="O29" s="58">
        <v>144.66</v>
      </c>
      <c r="P29" s="136">
        <f t="shared" si="6"/>
        <v>7233</v>
      </c>
      <c r="Q29" s="137" t="s">
        <v>252</v>
      </c>
      <c r="R29" s="60"/>
      <c r="S29" s="28"/>
      <c r="T29" s="11"/>
    </row>
    <row r="30" spans="1:20" ht="31.7" customHeight="1">
      <c r="A30" s="50">
        <v>24</v>
      </c>
      <c r="B30" s="92" t="s">
        <v>58</v>
      </c>
      <c r="C30" s="81" t="s">
        <v>92</v>
      </c>
      <c r="D30" s="106" t="s">
        <v>30</v>
      </c>
      <c r="E30" s="105">
        <v>100</v>
      </c>
      <c r="F30" s="94">
        <v>38.200000000000003</v>
      </c>
      <c r="G30" s="95">
        <v>38.6</v>
      </c>
      <c r="H30" s="95">
        <v>38</v>
      </c>
      <c r="I30" s="96">
        <v>23</v>
      </c>
      <c r="J30" s="96">
        <v>23.8</v>
      </c>
      <c r="K30" s="7">
        <f t="shared" si="4"/>
        <v>0.23659166331634271</v>
      </c>
      <c r="L30" s="8">
        <f t="shared" si="5"/>
        <v>32.32</v>
      </c>
      <c r="M30" s="9">
        <f t="shared" si="1"/>
        <v>3232.0000000000005</v>
      </c>
      <c r="N30" s="53">
        <v>68.680000000000007</v>
      </c>
      <c r="O30" s="58">
        <v>32.32</v>
      </c>
      <c r="P30" s="136">
        <f t="shared" si="6"/>
        <v>3232</v>
      </c>
      <c r="Q30" s="141" t="s">
        <v>253</v>
      </c>
      <c r="R30" s="59"/>
      <c r="S30" s="28"/>
      <c r="T30" s="11"/>
    </row>
    <row r="31" spans="1:20" ht="31.7" customHeight="1">
      <c r="A31" s="50">
        <v>25</v>
      </c>
      <c r="B31" s="92" t="s">
        <v>58</v>
      </c>
      <c r="C31" s="81" t="s">
        <v>93</v>
      </c>
      <c r="D31" s="106" t="s">
        <v>30</v>
      </c>
      <c r="E31" s="105">
        <v>3</v>
      </c>
      <c r="F31" s="94">
        <v>1330.5</v>
      </c>
      <c r="G31" s="95">
        <v>1330.6</v>
      </c>
      <c r="H31" s="95">
        <v>1330</v>
      </c>
      <c r="I31" s="96">
        <v>1260</v>
      </c>
      <c r="J31" s="96">
        <v>1288</v>
      </c>
      <c r="K31" s="7">
        <f t="shared" si="4"/>
        <v>2.4697605960221296E-2</v>
      </c>
      <c r="L31" s="8">
        <f t="shared" si="5"/>
        <v>1307.82</v>
      </c>
      <c r="M31" s="9">
        <f t="shared" si="1"/>
        <v>3923.46</v>
      </c>
      <c r="N31" s="53">
        <v>1335.25</v>
      </c>
      <c r="O31" s="58">
        <v>1335.25</v>
      </c>
      <c r="P31" s="136">
        <f t="shared" si="6"/>
        <v>4005.75</v>
      </c>
      <c r="Q31" s="137" t="s">
        <v>254</v>
      </c>
      <c r="R31" s="59"/>
      <c r="S31" s="28"/>
      <c r="T31" s="11"/>
    </row>
    <row r="32" spans="1:20" ht="30.75" customHeight="1">
      <c r="A32" s="50">
        <v>26</v>
      </c>
      <c r="B32" s="92" t="s">
        <v>59</v>
      </c>
      <c r="C32" s="81" t="s">
        <v>94</v>
      </c>
      <c r="D32" s="106" t="s">
        <v>30</v>
      </c>
      <c r="E32" s="105">
        <v>30</v>
      </c>
      <c r="F32" s="94">
        <v>146.5</v>
      </c>
      <c r="G32" s="95">
        <v>146.69999999999999</v>
      </c>
      <c r="H32" s="95">
        <v>146.04</v>
      </c>
      <c r="I32" s="96">
        <v>162</v>
      </c>
      <c r="J32" s="96">
        <v>120.6</v>
      </c>
      <c r="K32" s="7">
        <f t="shared" si="3"/>
        <v>9.9158852273920683E-2</v>
      </c>
      <c r="L32" s="8">
        <f t="shared" si="0"/>
        <v>144.37</v>
      </c>
      <c r="M32" s="9">
        <f t="shared" si="1"/>
        <v>4331.04</v>
      </c>
      <c r="N32" s="53">
        <v>270.76</v>
      </c>
      <c r="O32" s="58">
        <v>270.76</v>
      </c>
      <c r="P32" s="136">
        <f t="shared" si="2"/>
        <v>8122.7999999999993</v>
      </c>
      <c r="Q32" s="137" t="s">
        <v>255</v>
      </c>
      <c r="R32" s="60"/>
      <c r="S32" s="28"/>
      <c r="T32" s="11"/>
    </row>
    <row r="33" spans="1:20" ht="31.7" customHeight="1">
      <c r="A33" s="50">
        <v>27</v>
      </c>
      <c r="B33" s="92" t="s">
        <v>60</v>
      </c>
      <c r="C33" s="81" t="s">
        <v>95</v>
      </c>
      <c r="D33" s="106" t="s">
        <v>30</v>
      </c>
      <c r="E33" s="105">
        <v>100</v>
      </c>
      <c r="F33" s="94">
        <v>447.5</v>
      </c>
      <c r="G33" s="95">
        <v>447.6</v>
      </c>
      <c r="H33" s="95">
        <v>447</v>
      </c>
      <c r="I33" s="96">
        <v>411.9</v>
      </c>
      <c r="J33" s="96">
        <v>421.2</v>
      </c>
      <c r="K33" s="7">
        <f t="shared" si="3"/>
        <v>3.9219524474890528E-2</v>
      </c>
      <c r="L33" s="8">
        <f t="shared" si="0"/>
        <v>435.04</v>
      </c>
      <c r="M33" s="9">
        <f t="shared" si="1"/>
        <v>43504</v>
      </c>
      <c r="N33" s="53">
        <v>448.25</v>
      </c>
      <c r="O33" s="27">
        <v>448.25</v>
      </c>
      <c r="P33" s="136">
        <f t="shared" si="2"/>
        <v>44825</v>
      </c>
      <c r="Q33" s="137" t="s">
        <v>256</v>
      </c>
      <c r="R33" s="59"/>
      <c r="S33" s="28"/>
      <c r="T33" s="11"/>
    </row>
    <row r="34" spans="1:20" ht="38.25" customHeight="1">
      <c r="A34" s="50">
        <v>28</v>
      </c>
      <c r="B34" s="92" t="s">
        <v>61</v>
      </c>
      <c r="C34" s="81" t="s">
        <v>96</v>
      </c>
      <c r="D34" s="106" t="s">
        <v>30</v>
      </c>
      <c r="E34" s="105">
        <v>100</v>
      </c>
      <c r="F34" s="94">
        <v>51.2</v>
      </c>
      <c r="G34" s="95">
        <v>51.5</v>
      </c>
      <c r="H34" s="95">
        <v>51</v>
      </c>
      <c r="I34" s="96">
        <v>46.1</v>
      </c>
      <c r="J34" s="96">
        <v>45</v>
      </c>
      <c r="K34" s="7">
        <f t="shared" si="3"/>
        <v>6.290556623556115E-2</v>
      </c>
      <c r="L34" s="8">
        <f t="shared" si="0"/>
        <v>48.96</v>
      </c>
      <c r="M34" s="9">
        <f t="shared" si="1"/>
        <v>4896</v>
      </c>
      <c r="N34" s="53">
        <v>51.66</v>
      </c>
      <c r="O34" s="27">
        <v>51.66</v>
      </c>
      <c r="P34" s="136">
        <f t="shared" si="2"/>
        <v>5166</v>
      </c>
      <c r="Q34" s="137" t="s">
        <v>256</v>
      </c>
      <c r="R34" s="60"/>
      <c r="S34" s="28"/>
      <c r="T34" s="11"/>
    </row>
    <row r="35" spans="1:20" ht="37.700000000000003" customHeight="1">
      <c r="A35" s="50">
        <v>29</v>
      </c>
      <c r="B35" s="92" t="s">
        <v>62</v>
      </c>
      <c r="C35" s="81" t="s">
        <v>97</v>
      </c>
      <c r="D35" s="106" t="s">
        <v>30</v>
      </c>
      <c r="E35" s="105">
        <v>100</v>
      </c>
      <c r="F35" s="94">
        <v>108.05</v>
      </c>
      <c r="G35" s="95">
        <v>108.1</v>
      </c>
      <c r="H35" s="95">
        <v>108</v>
      </c>
      <c r="I35" s="96">
        <v>107</v>
      </c>
      <c r="J35" s="96">
        <v>104</v>
      </c>
      <c r="K35" s="7">
        <f t="shared" si="3"/>
        <v>1.6274038872109486E-2</v>
      </c>
      <c r="L35" s="8">
        <f t="shared" si="0"/>
        <v>107.03</v>
      </c>
      <c r="M35" s="9">
        <f t="shared" si="1"/>
        <v>10703</v>
      </c>
      <c r="N35" s="53">
        <v>108.62</v>
      </c>
      <c r="O35" s="27">
        <v>108.62</v>
      </c>
      <c r="P35" s="136">
        <f t="shared" si="2"/>
        <v>10862</v>
      </c>
      <c r="Q35" s="137" t="s">
        <v>257</v>
      </c>
      <c r="R35" s="59"/>
      <c r="S35" s="28"/>
      <c r="T35" s="11"/>
    </row>
    <row r="36" spans="1:20" ht="48" customHeight="1">
      <c r="A36" s="50">
        <v>30</v>
      </c>
      <c r="B36" s="92" t="s">
        <v>63</v>
      </c>
      <c r="C36" s="81" t="s">
        <v>98</v>
      </c>
      <c r="D36" s="106" t="s">
        <v>30</v>
      </c>
      <c r="E36" s="105">
        <v>50</v>
      </c>
      <c r="F36" s="94">
        <v>144.5</v>
      </c>
      <c r="G36" s="95">
        <v>144.56</v>
      </c>
      <c r="H36" s="95">
        <v>144</v>
      </c>
      <c r="I36" s="96">
        <v>142.80000000000001</v>
      </c>
      <c r="J36" s="96">
        <v>140</v>
      </c>
      <c r="K36" s="7">
        <f t="shared" si="3"/>
        <v>1.3259510613946356E-2</v>
      </c>
      <c r="L36" s="8">
        <f t="shared" si="0"/>
        <v>143.16999999999999</v>
      </c>
      <c r="M36" s="9">
        <f t="shared" si="1"/>
        <v>7158.6</v>
      </c>
      <c r="N36" s="53">
        <v>144.57</v>
      </c>
      <c r="O36" s="27">
        <v>144.57</v>
      </c>
      <c r="P36" s="136">
        <f t="shared" si="2"/>
        <v>7228.5</v>
      </c>
      <c r="Q36" s="137" t="s">
        <v>258</v>
      </c>
      <c r="R36" s="60"/>
      <c r="S36" s="28"/>
      <c r="T36" s="11"/>
    </row>
    <row r="37" spans="1:20" ht="31.7" customHeight="1">
      <c r="A37" s="50">
        <v>31</v>
      </c>
      <c r="B37" s="92" t="s">
        <v>64</v>
      </c>
      <c r="C37" s="81" t="s">
        <v>99</v>
      </c>
      <c r="D37" s="106" t="s">
        <v>30</v>
      </c>
      <c r="E37" s="105">
        <v>20</v>
      </c>
      <c r="F37" s="94">
        <v>125.4</v>
      </c>
      <c r="G37" s="95">
        <v>125.5</v>
      </c>
      <c r="H37" s="95">
        <v>125</v>
      </c>
      <c r="I37" s="96">
        <v>107.3</v>
      </c>
      <c r="J37" s="96">
        <v>113</v>
      </c>
      <c r="K37" s="7">
        <f t="shared" si="3"/>
        <v>7.0705735393242569E-2</v>
      </c>
      <c r="L37" s="8">
        <f t="shared" si="0"/>
        <v>119.24</v>
      </c>
      <c r="M37" s="9">
        <f t="shared" si="1"/>
        <v>2384.8000000000002</v>
      </c>
      <c r="N37" s="53">
        <v>102.96</v>
      </c>
      <c r="O37" s="27">
        <v>102.96</v>
      </c>
      <c r="P37" s="136">
        <f t="shared" si="2"/>
        <v>2059.1999999999998</v>
      </c>
      <c r="Q37" s="137" t="s">
        <v>245</v>
      </c>
      <c r="R37" s="59"/>
      <c r="S37" s="28"/>
      <c r="T37" s="11"/>
    </row>
    <row r="38" spans="1:20" ht="31.7" customHeight="1">
      <c r="A38" s="50">
        <v>32</v>
      </c>
      <c r="B38" s="92" t="s">
        <v>65</v>
      </c>
      <c r="C38" s="81" t="s">
        <v>100</v>
      </c>
      <c r="D38" s="106" t="s">
        <v>30</v>
      </c>
      <c r="E38" s="105">
        <v>30</v>
      </c>
      <c r="F38" s="94">
        <v>36.200000000000003</v>
      </c>
      <c r="G38" s="95">
        <v>36.409999999999997</v>
      </c>
      <c r="H38" s="95">
        <v>36</v>
      </c>
      <c r="I38" s="96">
        <v>36.6</v>
      </c>
      <c r="J38" s="96">
        <v>26.6</v>
      </c>
      <c r="K38" s="7">
        <f t="shared" si="3"/>
        <v>0.11968617488601631</v>
      </c>
      <c r="L38" s="8">
        <f t="shared" si="0"/>
        <v>34.36</v>
      </c>
      <c r="M38" s="9">
        <f t="shared" si="1"/>
        <v>1030.8600000000001</v>
      </c>
      <c r="N38" s="53">
        <v>38.1</v>
      </c>
      <c r="O38" s="27">
        <v>38.1</v>
      </c>
      <c r="P38" s="136">
        <f t="shared" si="2"/>
        <v>1143</v>
      </c>
      <c r="Q38" s="137" t="s">
        <v>252</v>
      </c>
      <c r="R38" s="59"/>
      <c r="S38" s="28"/>
      <c r="T38" s="11"/>
    </row>
    <row r="39" spans="1:20" ht="33.75" customHeight="1">
      <c r="A39" s="50">
        <v>33</v>
      </c>
      <c r="B39" s="92" t="s">
        <v>66</v>
      </c>
      <c r="C39" s="81" t="s">
        <v>101</v>
      </c>
      <c r="D39" s="106" t="s">
        <v>30</v>
      </c>
      <c r="E39" s="105">
        <v>10</v>
      </c>
      <c r="F39" s="94">
        <v>200.5</v>
      </c>
      <c r="G39" s="95">
        <v>200.6</v>
      </c>
      <c r="H39" s="95">
        <v>200</v>
      </c>
      <c r="I39" s="96">
        <v>146.1</v>
      </c>
      <c r="J39" s="96">
        <v>163.34</v>
      </c>
      <c r="K39" s="7">
        <f t="shared" ref="K39" si="7">STDEVA(F39:J39)/(SUM(F39:I39)/COUNTIF(F39:I39,"&gt;0"))</f>
        <v>0.13776757182513749</v>
      </c>
      <c r="L39" s="8">
        <f t="shared" ref="L39" si="8">ROUND(AVERAGE(F39:J39),2)</f>
        <v>182.11</v>
      </c>
      <c r="M39" s="9">
        <f t="shared" ref="M39" si="9">((E39/5)*(SUM(F39:J39)))</f>
        <v>1821.0800000000002</v>
      </c>
      <c r="N39" s="53">
        <v>283.83</v>
      </c>
      <c r="O39" s="58">
        <v>283.83</v>
      </c>
      <c r="P39" s="136">
        <f t="shared" ref="P39" si="10">E39*O39</f>
        <v>2838.2999999999997</v>
      </c>
      <c r="Q39" s="137" t="s">
        <v>242</v>
      </c>
      <c r="R39" s="60"/>
      <c r="S39" s="28"/>
      <c r="T39" s="11"/>
    </row>
    <row r="40" spans="1:20" ht="33.75" customHeight="1">
      <c r="A40" s="50">
        <v>34</v>
      </c>
      <c r="B40" s="92" t="s">
        <v>229</v>
      </c>
      <c r="C40" s="81" t="s">
        <v>230</v>
      </c>
      <c r="D40" s="106" t="s">
        <v>30</v>
      </c>
      <c r="E40" s="105">
        <v>50</v>
      </c>
      <c r="F40" s="94">
        <v>1950</v>
      </c>
      <c r="G40" s="95">
        <v>1965</v>
      </c>
      <c r="H40" s="95">
        <v>1900</v>
      </c>
      <c r="I40" s="96">
        <v>1918.5</v>
      </c>
      <c r="J40" s="96">
        <v>1859.7</v>
      </c>
      <c r="K40" s="7">
        <f t="shared" si="3"/>
        <v>2.1566224497665622E-2</v>
      </c>
      <c r="L40" s="8">
        <f t="shared" si="0"/>
        <v>1918.64</v>
      </c>
      <c r="M40" s="9">
        <f t="shared" si="1"/>
        <v>95932</v>
      </c>
      <c r="N40" s="53">
        <v>1933.94</v>
      </c>
      <c r="O40" s="58">
        <v>1933.94</v>
      </c>
      <c r="P40" s="136">
        <f t="shared" si="2"/>
        <v>96697</v>
      </c>
      <c r="Q40" s="137" t="s">
        <v>259</v>
      </c>
      <c r="R40" s="60"/>
      <c r="S40" s="28"/>
      <c r="T40" s="11"/>
    </row>
    <row r="41" spans="1:20">
      <c r="A41" s="1"/>
      <c r="B41" s="124" t="s">
        <v>9</v>
      </c>
      <c r="C41" s="124"/>
      <c r="D41" s="124"/>
      <c r="E41" s="124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29">
        <f>SUM(P7:P40)</f>
        <v>492036.31999999995</v>
      </c>
      <c r="Q41" s="1"/>
      <c r="R41" s="61"/>
      <c r="S41" s="1"/>
      <c r="T41" s="1"/>
    </row>
    <row r="42" spans="1:20" ht="40.5" customHeight="1">
      <c r="A42" s="1"/>
      <c r="B42" s="130" t="s">
        <v>10</v>
      </c>
      <c r="C42" s="126" t="s">
        <v>22</v>
      </c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25"/>
      <c r="Q42" s="12"/>
      <c r="R42" s="64"/>
      <c r="S42" s="12"/>
      <c r="T42" s="12"/>
    </row>
    <row r="43" spans="1:20" ht="24.75" customHeight="1">
      <c r="A43" s="1"/>
      <c r="B43" s="131"/>
      <c r="C43" s="127" t="s">
        <v>33</v>
      </c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26"/>
      <c r="Q43" s="12"/>
      <c r="R43" s="64"/>
      <c r="S43" s="12"/>
      <c r="T43" s="12"/>
    </row>
    <row r="44" spans="1:20" ht="72.75" customHeight="1">
      <c r="A44" s="3"/>
      <c r="B44" s="115" t="s">
        <v>11</v>
      </c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3"/>
      <c r="R44" s="63"/>
      <c r="S44" s="3"/>
      <c r="T44" s="3"/>
    </row>
    <row r="45" spans="1:20" ht="66" customHeight="1">
      <c r="A45" s="3"/>
      <c r="B45" s="116" t="s">
        <v>28</v>
      </c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3"/>
      <c r="R45" s="63"/>
      <c r="S45" s="3"/>
      <c r="T45" s="3"/>
    </row>
    <row r="46" spans="1:20">
      <c r="A46" s="10"/>
      <c r="B46" s="13"/>
      <c r="C46" s="13"/>
      <c r="D46" s="13"/>
      <c r="E46" s="13"/>
      <c r="F46" s="14"/>
      <c r="G46" s="14"/>
      <c r="H46" s="15"/>
      <c r="I46" s="15"/>
      <c r="J46" s="15"/>
      <c r="K46" s="16"/>
      <c r="L46" s="17"/>
      <c r="M46" s="17"/>
      <c r="N46" s="17"/>
      <c r="O46" s="16"/>
      <c r="P46" s="18"/>
      <c r="Q46" s="10"/>
      <c r="R46" s="65"/>
      <c r="S46" s="10"/>
      <c r="T46" s="10"/>
    </row>
    <row r="47" spans="1:20">
      <c r="A47" s="3"/>
      <c r="B47" s="117" t="s">
        <v>12</v>
      </c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63"/>
      <c r="S47" s="3"/>
      <c r="T47" s="3"/>
    </row>
    <row r="48" spans="1:20" ht="31.5" customHeight="1">
      <c r="A48" s="3"/>
      <c r="B48" s="110" t="s">
        <v>20</v>
      </c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9"/>
      <c r="R48" s="63"/>
      <c r="S48" s="3"/>
      <c r="T48" s="3"/>
    </row>
    <row r="49" spans="1:20" ht="26.25" customHeight="1">
      <c r="A49" s="3"/>
      <c r="B49" s="118" t="s">
        <v>32</v>
      </c>
      <c r="C49" s="118"/>
      <c r="D49" s="118"/>
      <c r="E49" s="118"/>
      <c r="F49" s="118"/>
      <c r="G49" s="118"/>
      <c r="H49" s="118"/>
      <c r="I49" s="118"/>
      <c r="J49" s="68"/>
      <c r="K49" s="119">
        <f>P41</f>
        <v>492036.31999999995</v>
      </c>
      <c r="L49" s="119"/>
      <c r="M49" s="121" t="s">
        <v>234</v>
      </c>
      <c r="N49" s="121"/>
      <c r="O49" s="121"/>
      <c r="P49" s="121"/>
      <c r="Q49" s="20"/>
      <c r="R49" s="63"/>
      <c r="S49" s="3"/>
      <c r="T49" s="3"/>
    </row>
    <row r="50" spans="1:20">
      <c r="A50" s="3"/>
      <c r="B50" s="118"/>
      <c r="C50" s="118"/>
      <c r="D50" s="118"/>
      <c r="E50" s="118"/>
      <c r="F50" s="118"/>
      <c r="G50" s="118"/>
      <c r="H50" s="118"/>
      <c r="I50" s="118"/>
      <c r="J50" s="68"/>
      <c r="K50" s="119"/>
      <c r="L50" s="119"/>
      <c r="M50" s="121"/>
      <c r="N50" s="121"/>
      <c r="O50" s="121"/>
      <c r="P50" s="121"/>
      <c r="Q50" s="20"/>
      <c r="R50" s="66"/>
      <c r="S50" s="3"/>
      <c r="T50" s="3"/>
    </row>
    <row r="51" spans="1:20">
      <c r="A51" s="1"/>
      <c r="B51" s="21" t="s">
        <v>21</v>
      </c>
      <c r="C51" s="21"/>
      <c r="D51" s="21"/>
      <c r="E51" s="21" t="s">
        <v>36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61"/>
      <c r="S51" s="1"/>
      <c r="T51" s="1"/>
    </row>
    <row r="52" spans="1:20">
      <c r="A52" s="1"/>
      <c r="B52" s="21"/>
      <c r="C52" s="21"/>
      <c r="D52" s="21"/>
      <c r="E52" s="21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61"/>
      <c r="S52" s="1"/>
      <c r="T52" s="1"/>
    </row>
    <row r="53" spans="1:20">
      <c r="A53" s="1"/>
      <c r="B53" s="21" t="s">
        <v>13</v>
      </c>
      <c r="C53" s="21"/>
      <c r="D53" s="21"/>
      <c r="E53" s="21"/>
      <c r="F53" s="21"/>
      <c r="G53" s="21"/>
      <c r="H53" s="23">
        <v>46308</v>
      </c>
      <c r="I53" s="22"/>
      <c r="J53" s="22"/>
      <c r="K53" s="22"/>
      <c r="L53" s="22"/>
      <c r="M53" s="22"/>
      <c r="N53" s="22"/>
      <c r="O53" s="22"/>
      <c r="P53" s="22"/>
      <c r="Q53" s="22"/>
      <c r="R53" s="61"/>
      <c r="S53" s="1"/>
      <c r="T53" s="1"/>
    </row>
    <row r="54" spans="1:20">
      <c r="A54" s="1"/>
      <c r="B54" s="21"/>
      <c r="C54" s="21"/>
      <c r="D54" s="21"/>
      <c r="E54" s="21"/>
      <c r="F54" s="21"/>
      <c r="G54" s="21"/>
      <c r="H54" s="24"/>
      <c r="I54" s="22"/>
      <c r="J54" s="22"/>
      <c r="K54" s="22"/>
      <c r="L54" s="22"/>
      <c r="M54" s="22"/>
      <c r="N54" s="22"/>
      <c r="O54" s="22"/>
      <c r="P54" s="22"/>
      <c r="Q54" s="22"/>
      <c r="R54" s="61"/>
      <c r="S54" s="1"/>
      <c r="T54" s="1"/>
    </row>
    <row r="55" spans="1:20">
      <c r="R55"/>
    </row>
    <row r="56" spans="1:20">
      <c r="R56"/>
    </row>
    <row r="57" spans="1:20">
      <c r="R57"/>
    </row>
    <row r="58" spans="1:20">
      <c r="R58"/>
    </row>
    <row r="59" spans="1:20">
      <c r="R59"/>
    </row>
    <row r="60" spans="1:20">
      <c r="R60"/>
    </row>
    <row r="61" spans="1:20">
      <c r="R61"/>
    </row>
    <row r="62" spans="1:20">
      <c r="R62"/>
    </row>
    <row r="63" spans="1:20">
      <c r="R63"/>
    </row>
    <row r="64" spans="1:20">
      <c r="R64"/>
    </row>
    <row r="65" spans="18:18">
      <c r="R65"/>
    </row>
    <row r="66" spans="18:18">
      <c r="R66"/>
    </row>
    <row r="67" spans="18:18">
      <c r="R67"/>
    </row>
    <row r="68" spans="18:18">
      <c r="R68"/>
    </row>
    <row r="69" spans="18:18">
      <c r="R69"/>
    </row>
    <row r="70" spans="18:18">
      <c r="R70"/>
    </row>
    <row r="71" spans="18:18">
      <c r="R71"/>
    </row>
    <row r="72" spans="18:18">
      <c r="R72"/>
    </row>
    <row r="73" spans="18:18">
      <c r="R73"/>
    </row>
    <row r="74" spans="18:18">
      <c r="R74"/>
    </row>
    <row r="75" spans="18:18">
      <c r="R75"/>
    </row>
    <row r="76" spans="18:18">
      <c r="R76"/>
    </row>
    <row r="77" spans="18:18">
      <c r="R77"/>
    </row>
    <row r="78" spans="18:18">
      <c r="R78"/>
    </row>
    <row r="79" spans="18:18">
      <c r="R79"/>
    </row>
    <row r="80" spans="18:18">
      <c r="R80"/>
    </row>
    <row r="81" spans="18:18">
      <c r="R81"/>
    </row>
    <row r="82" spans="18:18">
      <c r="R82"/>
    </row>
    <row r="83" spans="18:18">
      <c r="R83"/>
    </row>
    <row r="84" spans="18:18">
      <c r="R84"/>
    </row>
    <row r="85" spans="18:18">
      <c r="R85"/>
    </row>
    <row r="86" spans="18:18">
      <c r="R86"/>
    </row>
    <row r="87" spans="18:18">
      <c r="R87"/>
    </row>
    <row r="88" spans="18:18">
      <c r="R88"/>
    </row>
    <row r="89" spans="18:18">
      <c r="R89"/>
    </row>
    <row r="90" spans="18:18">
      <c r="R90"/>
    </row>
    <row r="91" spans="18:18">
      <c r="R91"/>
    </row>
    <row r="92" spans="18:18">
      <c r="R92"/>
    </row>
    <row r="93" spans="18:18">
      <c r="R93"/>
    </row>
    <row r="94" spans="18:18">
      <c r="R94"/>
    </row>
    <row r="95" spans="18:18">
      <c r="R95"/>
    </row>
    <row r="96" spans="18:18">
      <c r="R96"/>
    </row>
    <row r="97" spans="18:18">
      <c r="R97"/>
    </row>
    <row r="98" spans="18:18">
      <c r="R98"/>
    </row>
    <row r="99" spans="18:18">
      <c r="R99"/>
    </row>
    <row r="100" spans="18:18">
      <c r="R100"/>
    </row>
    <row r="101" spans="18:18">
      <c r="R101"/>
    </row>
    <row r="102" spans="18:18">
      <c r="R102"/>
    </row>
    <row r="103" spans="18:18">
      <c r="R103"/>
    </row>
    <row r="104" spans="18:18">
      <c r="R104"/>
    </row>
    <row r="105" spans="18:18">
      <c r="R105"/>
    </row>
    <row r="106" spans="18:18">
      <c r="R106"/>
    </row>
    <row r="107" spans="18:18">
      <c r="R107"/>
    </row>
    <row r="108" spans="18:18">
      <c r="R108"/>
    </row>
    <row r="109" spans="18:18">
      <c r="R109"/>
    </row>
    <row r="110" spans="18:18">
      <c r="R110"/>
    </row>
    <row r="111" spans="18:18">
      <c r="R111"/>
    </row>
    <row r="112" spans="18:18">
      <c r="R112"/>
    </row>
    <row r="113" spans="18:18">
      <c r="R113"/>
    </row>
    <row r="114" spans="18:18">
      <c r="R114"/>
    </row>
    <row r="115" spans="18:18">
      <c r="R115"/>
    </row>
    <row r="116" spans="18:18">
      <c r="R116"/>
    </row>
    <row r="117" spans="18:18">
      <c r="R117"/>
    </row>
    <row r="118" spans="18:18">
      <c r="R118"/>
    </row>
    <row r="119" spans="18:18">
      <c r="R119"/>
    </row>
    <row r="120" spans="18:18">
      <c r="R120"/>
    </row>
    <row r="121" spans="18:18">
      <c r="R121"/>
    </row>
    <row r="122" spans="18:18">
      <c r="R122"/>
    </row>
    <row r="123" spans="18:18">
      <c r="R123"/>
    </row>
    <row r="124" spans="18:18">
      <c r="R124"/>
    </row>
    <row r="125" spans="18:18">
      <c r="R125"/>
    </row>
    <row r="126" spans="18:18">
      <c r="R126"/>
    </row>
    <row r="127" spans="18:18">
      <c r="R127"/>
    </row>
    <row r="128" spans="18:18">
      <c r="R128"/>
    </row>
    <row r="129" spans="18:18">
      <c r="R129"/>
    </row>
    <row r="130" spans="18:18">
      <c r="R130"/>
    </row>
    <row r="131" spans="18:18">
      <c r="R131"/>
    </row>
    <row r="132" spans="18:18">
      <c r="R132"/>
    </row>
    <row r="133" spans="18:18">
      <c r="R133"/>
    </row>
    <row r="134" spans="18:18">
      <c r="R134"/>
    </row>
    <row r="135" spans="18:18">
      <c r="R135"/>
    </row>
    <row r="136" spans="18:18">
      <c r="R136"/>
    </row>
  </sheetData>
  <mergeCells count="22">
    <mergeCell ref="B49:I50"/>
    <mergeCell ref="K49:L50"/>
    <mergeCell ref="K1:P1"/>
    <mergeCell ref="M49:P50"/>
    <mergeCell ref="C2:P2"/>
    <mergeCell ref="B4:B5"/>
    <mergeCell ref="C4:C5"/>
    <mergeCell ref="D4:D5"/>
    <mergeCell ref="E4:E5"/>
    <mergeCell ref="B41:O41"/>
    <mergeCell ref="C42:O42"/>
    <mergeCell ref="C43:O43"/>
    <mergeCell ref="K4:L4"/>
    <mergeCell ref="M4:P4"/>
    <mergeCell ref="B42:B43"/>
    <mergeCell ref="B3:L3"/>
    <mergeCell ref="B48:P48"/>
    <mergeCell ref="F4:I4"/>
    <mergeCell ref="A4:A5"/>
    <mergeCell ref="B44:P44"/>
    <mergeCell ref="B45:P45"/>
    <mergeCell ref="B47:Q47"/>
  </mergeCells>
  <conditionalFormatting sqref="K7:K40">
    <cfRule type="cellIs" dxfId="3" priority="247" stopIfTrue="1" operator="greaterThan">
      <formula>0.33</formula>
    </cfRule>
    <cfRule type="cellIs" dxfId="2" priority="248" stopIfTrue="1" operator="greaterThan">
      <formula>0.33</formula>
    </cfRule>
  </conditionalFormatting>
  <conditionalFormatting sqref="T7:T40">
    <cfRule type="cellIs" dxfId="1" priority="73" stopIfTrue="1" operator="greaterThan">
      <formula>0.33</formula>
    </cfRule>
    <cfRule type="cellIs" dxfId="0" priority="74" stopIfTrue="1" operator="greaterThan">
      <formula>0.33</formula>
    </cfRule>
  </conditionalFormatting>
  <dataValidations count="1">
    <dataValidation type="list" errorStyle="warning" allowBlank="1" showInputMessage="1" showErrorMessage="1" sqref="R7:R40" xr:uid="{742988A4-9D07-4AEA-95A2-4C9EE5F877B7}">
      <formula1>dict34622611493b4f0bae79b89732558101</formula1>
    </dataValidation>
  </dataValidations>
  <hyperlinks>
    <hyperlink ref="N5" r:id="rId1" xr:uid="{23DC8BAA-90A5-4FAB-87A2-AFA01B946A17}"/>
  </hyperlinks>
  <pageMargins left="0" right="0" top="0" bottom="0" header="0.31496062992125984" footer="0.31496062992125984"/>
  <pageSetup paperSize="9" scale="65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topLeftCell="A19" workbookViewId="0">
      <selection activeCell="B35" sqref="B35"/>
    </sheetView>
  </sheetViews>
  <sheetFormatPr defaultRowHeight="15"/>
  <cols>
    <col min="1" max="1" width="5.42578125" customWidth="1"/>
    <col min="2" max="2" width="15.85546875" customWidth="1"/>
    <col min="3" max="3" width="16.85546875" customWidth="1"/>
    <col min="4" max="5" width="22" style="37" customWidth="1"/>
    <col min="6" max="6" width="17.5703125" customWidth="1"/>
    <col min="7" max="7" width="29" customWidth="1"/>
    <col min="8" max="8" width="23.42578125" customWidth="1"/>
    <col min="9" max="9" width="5.28515625" style="55" customWidth="1"/>
    <col min="10" max="10" width="26.140625" style="79" customWidth="1"/>
  </cols>
  <sheetData>
    <row r="1" spans="1:13">
      <c r="A1" s="31" t="s">
        <v>14</v>
      </c>
      <c r="B1" s="91" t="s">
        <v>0</v>
      </c>
      <c r="C1" s="32" t="s">
        <v>15</v>
      </c>
      <c r="D1" s="38" t="s">
        <v>16</v>
      </c>
      <c r="E1" s="38" t="s">
        <v>35</v>
      </c>
      <c r="F1" s="32" t="s">
        <v>15</v>
      </c>
      <c r="G1" s="33" t="s">
        <v>16</v>
      </c>
      <c r="H1" s="30" t="s">
        <v>35</v>
      </c>
    </row>
    <row r="2" spans="1:13" ht="49.35" customHeight="1">
      <c r="A2" s="83">
        <v>1</v>
      </c>
      <c r="B2" s="81" t="s">
        <v>37</v>
      </c>
      <c r="C2" s="84">
        <f>0.65607*44*100</f>
        <v>2886.7080000000001</v>
      </c>
      <c r="D2" s="54" t="s">
        <v>118</v>
      </c>
      <c r="E2" s="72" t="s">
        <v>119</v>
      </c>
      <c r="F2" s="73">
        <f>0.44415*44*100</f>
        <v>1954.26</v>
      </c>
      <c r="G2" s="34" t="s">
        <v>120</v>
      </c>
      <c r="H2" s="71" t="s">
        <v>121</v>
      </c>
      <c r="J2" s="80"/>
      <c r="K2" s="39"/>
      <c r="M2" s="43"/>
    </row>
    <row r="3" spans="1:13" ht="57.6" customHeight="1">
      <c r="A3" s="83">
        <v>2</v>
      </c>
      <c r="B3" s="81" t="s">
        <v>38</v>
      </c>
      <c r="C3" s="85">
        <f>2.28*10*10</f>
        <v>227.99999999999997</v>
      </c>
      <c r="D3" s="69" t="s">
        <v>114</v>
      </c>
      <c r="E3" s="72" t="s">
        <v>115</v>
      </c>
      <c r="F3" s="45">
        <f>1.74*10*10</f>
        <v>174</v>
      </c>
      <c r="G3" s="34" t="s">
        <v>116</v>
      </c>
      <c r="H3" s="71" t="s">
        <v>117</v>
      </c>
      <c r="J3" s="77"/>
      <c r="K3" s="36"/>
    </row>
    <row r="4" spans="1:13" ht="41.45" customHeight="1">
      <c r="A4" s="83">
        <v>3</v>
      </c>
      <c r="B4" s="81" t="s">
        <v>39</v>
      </c>
      <c r="C4" s="86">
        <f>3.57*20</f>
        <v>71.399999999999991</v>
      </c>
      <c r="D4" s="54" t="s">
        <v>104</v>
      </c>
      <c r="E4" s="72" t="s">
        <v>105</v>
      </c>
      <c r="F4" s="46">
        <f>4.306*20</f>
        <v>86.12</v>
      </c>
      <c r="G4" s="34" t="s">
        <v>102</v>
      </c>
      <c r="H4" s="71" t="s">
        <v>103</v>
      </c>
      <c r="J4" s="78"/>
      <c r="K4" s="39"/>
    </row>
    <row r="5" spans="1:13" ht="49.35" customHeight="1">
      <c r="A5" s="83">
        <v>4</v>
      </c>
      <c r="B5" s="81" t="s">
        <v>39</v>
      </c>
      <c r="C5" s="87">
        <f>12*10</f>
        <v>120</v>
      </c>
      <c r="D5" s="34" t="s">
        <v>106</v>
      </c>
      <c r="E5" s="72" t="s">
        <v>107</v>
      </c>
      <c r="F5" s="74">
        <f>11.76*10</f>
        <v>117.6</v>
      </c>
      <c r="G5" s="34" t="s">
        <v>108</v>
      </c>
      <c r="H5" s="71" t="s">
        <v>109</v>
      </c>
      <c r="J5" s="80"/>
      <c r="K5" s="36"/>
    </row>
    <row r="6" spans="1:13" ht="45.6" customHeight="1">
      <c r="A6" s="83">
        <v>5</v>
      </c>
      <c r="B6" s="81" t="s">
        <v>40</v>
      </c>
      <c r="C6" s="86">
        <f>6.5*2*10</f>
        <v>130</v>
      </c>
      <c r="D6" s="34" t="s">
        <v>110</v>
      </c>
      <c r="E6" s="72" t="s">
        <v>111</v>
      </c>
      <c r="F6" s="46">
        <f>3.055*10*2</f>
        <v>61.1</v>
      </c>
      <c r="G6" s="34" t="s">
        <v>112</v>
      </c>
      <c r="H6" s="71" t="s">
        <v>113</v>
      </c>
      <c r="I6" s="47"/>
      <c r="J6" s="80"/>
      <c r="K6" s="39"/>
    </row>
    <row r="7" spans="1:13" ht="28.35" customHeight="1">
      <c r="A7" s="83">
        <v>6</v>
      </c>
      <c r="B7" s="81" t="s">
        <v>41</v>
      </c>
      <c r="C7" s="86">
        <f>6.413*2*10</f>
        <v>128.26</v>
      </c>
      <c r="D7" s="70" t="s">
        <v>122</v>
      </c>
      <c r="E7" s="72" t="s">
        <v>123</v>
      </c>
      <c r="F7" s="75">
        <f>6.29*2*10</f>
        <v>125.8</v>
      </c>
      <c r="G7" s="34" t="s">
        <v>124</v>
      </c>
      <c r="H7" s="71" t="s">
        <v>125</v>
      </c>
      <c r="I7" s="47"/>
      <c r="J7" s="80"/>
      <c r="K7" s="36"/>
    </row>
    <row r="8" spans="1:13" ht="46.35" customHeight="1">
      <c r="A8" s="83">
        <v>7</v>
      </c>
      <c r="B8" s="81" t="s">
        <v>42</v>
      </c>
      <c r="C8" s="86">
        <f>3.21*30</f>
        <v>96.3</v>
      </c>
      <c r="D8" s="34" t="s">
        <v>126</v>
      </c>
      <c r="E8" s="72" t="s">
        <v>127</v>
      </c>
      <c r="F8" s="76">
        <f>3.2*30</f>
        <v>96</v>
      </c>
      <c r="G8" s="34" t="s">
        <v>132</v>
      </c>
      <c r="H8" s="71" t="s">
        <v>133</v>
      </c>
      <c r="J8" s="80"/>
      <c r="K8" s="36"/>
    </row>
    <row r="9" spans="1:13" ht="49.35" customHeight="1">
      <c r="A9" s="83">
        <v>8</v>
      </c>
      <c r="B9" s="81" t="s">
        <v>42</v>
      </c>
      <c r="C9" s="86">
        <f>18.04*10</f>
        <v>180.39999999999998</v>
      </c>
      <c r="D9" s="34" t="s">
        <v>128</v>
      </c>
      <c r="E9" s="72" t="s">
        <v>129</v>
      </c>
      <c r="F9" s="46">
        <f>12.99*10</f>
        <v>129.9</v>
      </c>
      <c r="G9" s="34" t="s">
        <v>130</v>
      </c>
      <c r="H9" s="71" t="s">
        <v>131</v>
      </c>
      <c r="J9" s="80"/>
      <c r="K9" s="36"/>
    </row>
    <row r="10" spans="1:13" ht="55.7" customHeight="1">
      <c r="A10" s="83">
        <v>9</v>
      </c>
      <c r="B10" s="81" t="s">
        <v>43</v>
      </c>
      <c r="C10" s="88">
        <f>22.7*6</f>
        <v>136.19999999999999</v>
      </c>
      <c r="D10" s="34" t="s">
        <v>134</v>
      </c>
      <c r="E10" s="72" t="s">
        <v>135</v>
      </c>
      <c r="F10" s="48">
        <f>1.637*10*6</f>
        <v>98.22</v>
      </c>
      <c r="G10" s="34" t="s">
        <v>136</v>
      </c>
      <c r="H10" s="71" t="s">
        <v>137</v>
      </c>
      <c r="J10" s="80"/>
      <c r="K10" s="36"/>
    </row>
    <row r="11" spans="1:13" ht="51.6" customHeight="1">
      <c r="A11" s="83">
        <v>10</v>
      </c>
      <c r="B11" s="81" t="s">
        <v>44</v>
      </c>
      <c r="C11" s="88">
        <f>0.51*760*5</f>
        <v>1938</v>
      </c>
      <c r="D11" s="34" t="s">
        <v>138</v>
      </c>
      <c r="E11" s="72" t="s">
        <v>139</v>
      </c>
      <c r="F11" s="48">
        <f>0.66*400*5</f>
        <v>1320</v>
      </c>
      <c r="G11" s="34" t="s">
        <v>140</v>
      </c>
      <c r="H11" s="71" t="s">
        <v>141</v>
      </c>
      <c r="J11" s="80"/>
      <c r="K11" s="36"/>
    </row>
    <row r="12" spans="1:13" ht="39.6" customHeight="1">
      <c r="A12" s="83">
        <v>11</v>
      </c>
      <c r="B12" s="81" t="s">
        <v>45</v>
      </c>
      <c r="C12" s="88">
        <f>10.93*10*10</f>
        <v>1093</v>
      </c>
      <c r="D12" s="34" t="s">
        <v>142</v>
      </c>
      <c r="E12" s="72" t="s">
        <v>143</v>
      </c>
      <c r="F12" s="48">
        <f>11.81*10*10</f>
        <v>1181</v>
      </c>
      <c r="G12" s="34" t="s">
        <v>144</v>
      </c>
      <c r="H12" s="71" t="s">
        <v>145</v>
      </c>
      <c r="J12" s="80"/>
      <c r="K12" s="36"/>
    </row>
    <row r="13" spans="1:13" ht="40.35" customHeight="1">
      <c r="A13" s="83">
        <v>12</v>
      </c>
      <c r="B13" s="81" t="s">
        <v>46</v>
      </c>
      <c r="C13" s="89">
        <f>1.336*20</f>
        <v>26.720000000000002</v>
      </c>
      <c r="D13" s="34" t="s">
        <v>147</v>
      </c>
      <c r="E13" s="72" t="s">
        <v>148</v>
      </c>
      <c r="F13" s="74">
        <f>1.33*20</f>
        <v>26.6</v>
      </c>
      <c r="G13" s="34" t="s">
        <v>149</v>
      </c>
      <c r="H13" s="71" t="s">
        <v>150</v>
      </c>
    </row>
    <row r="14" spans="1:13" ht="41.45" customHeight="1">
      <c r="A14" s="83">
        <v>13</v>
      </c>
      <c r="B14" s="81" t="s">
        <v>47</v>
      </c>
      <c r="C14" s="89">
        <f>5.08*10</f>
        <v>50.8</v>
      </c>
      <c r="D14" s="34" t="s">
        <v>151</v>
      </c>
      <c r="E14" s="72" t="s">
        <v>152</v>
      </c>
      <c r="F14" s="74">
        <f>4.52*10</f>
        <v>45.199999999999996</v>
      </c>
      <c r="G14" s="44" t="s">
        <v>147</v>
      </c>
      <c r="H14" s="71" t="s">
        <v>153</v>
      </c>
    </row>
    <row r="15" spans="1:13" ht="33.6" customHeight="1">
      <c r="A15" s="83">
        <v>14</v>
      </c>
      <c r="B15" s="81" t="s">
        <v>48</v>
      </c>
      <c r="C15" s="89">
        <f>2.378*3*10</f>
        <v>71.34</v>
      </c>
      <c r="D15" s="34" t="s">
        <v>154</v>
      </c>
      <c r="E15" s="72" t="s">
        <v>155</v>
      </c>
      <c r="F15" s="74">
        <f>2.44*3*10</f>
        <v>73.2</v>
      </c>
      <c r="G15" s="34" t="s">
        <v>156</v>
      </c>
      <c r="H15" s="71" t="s">
        <v>157</v>
      </c>
    </row>
    <row r="16" spans="1:13" ht="31.35" customHeight="1">
      <c r="A16" s="83">
        <v>15</v>
      </c>
      <c r="B16" s="81" t="s">
        <v>49</v>
      </c>
      <c r="C16" s="89">
        <f>7.92*10*10</f>
        <v>792</v>
      </c>
      <c r="D16" s="34" t="s">
        <v>158</v>
      </c>
      <c r="E16" s="72" t="s">
        <v>159</v>
      </c>
      <c r="F16" s="74">
        <f>7.04*10*10</f>
        <v>704</v>
      </c>
      <c r="G16" s="44" t="s">
        <v>160</v>
      </c>
      <c r="H16" s="71" t="s">
        <v>161</v>
      </c>
    </row>
    <row r="17" spans="1:10" ht="37.35" customHeight="1">
      <c r="A17" s="83">
        <v>16</v>
      </c>
      <c r="B17" s="81" t="s">
        <v>50</v>
      </c>
      <c r="C17" s="90">
        <f>11.981*10</f>
        <v>119.81</v>
      </c>
      <c r="D17" s="34" t="s">
        <v>162</v>
      </c>
      <c r="E17" s="72" t="s">
        <v>163</v>
      </c>
      <c r="F17" s="74">
        <f>8.76*10</f>
        <v>87.6</v>
      </c>
      <c r="G17" s="47" t="s">
        <v>164</v>
      </c>
      <c r="H17" s="71" t="s">
        <v>165</v>
      </c>
      <c r="I17" s="47"/>
    </row>
    <row r="18" spans="1:10" ht="48" customHeight="1">
      <c r="A18" s="83">
        <v>17</v>
      </c>
      <c r="B18" s="82" t="s">
        <v>51</v>
      </c>
      <c r="C18" s="89">
        <f>0.78*10*10</f>
        <v>78</v>
      </c>
      <c r="D18" s="34" t="s">
        <v>166</v>
      </c>
      <c r="E18" s="72" t="s">
        <v>167</v>
      </c>
      <c r="F18" s="30">
        <f>0.79*10*10</f>
        <v>79</v>
      </c>
      <c r="G18" s="34" t="s">
        <v>168</v>
      </c>
      <c r="H18" s="71" t="s">
        <v>169</v>
      </c>
    </row>
    <row r="19" spans="1:10" ht="30.6" customHeight="1">
      <c r="A19" s="83">
        <v>18</v>
      </c>
      <c r="B19" s="81" t="s">
        <v>52</v>
      </c>
      <c r="C19" s="89">
        <f>2.58*20*5</f>
        <v>258</v>
      </c>
      <c r="D19" s="34" t="s">
        <v>170</v>
      </c>
      <c r="E19" s="72" t="s">
        <v>171</v>
      </c>
      <c r="F19" s="30">
        <f>2.54*20*5</f>
        <v>254</v>
      </c>
      <c r="G19" s="34" t="s">
        <v>172</v>
      </c>
      <c r="H19" s="71" t="s">
        <v>173</v>
      </c>
      <c r="J19" s="80"/>
    </row>
    <row r="20" spans="1:10" ht="40.700000000000003" customHeight="1">
      <c r="A20" s="83">
        <v>19</v>
      </c>
      <c r="B20" s="82" t="s">
        <v>53</v>
      </c>
      <c r="C20" s="90">
        <f>24.2*20*5</f>
        <v>2420</v>
      </c>
      <c r="D20" s="34" t="s">
        <v>174</v>
      </c>
      <c r="E20" s="72" t="s">
        <v>175</v>
      </c>
      <c r="F20" s="30">
        <f>24.96*20*5</f>
        <v>2496</v>
      </c>
      <c r="G20" s="44" t="s">
        <v>176</v>
      </c>
      <c r="H20" s="71" t="s">
        <v>177</v>
      </c>
    </row>
    <row r="21" spans="1:10" ht="36" customHeight="1">
      <c r="A21" s="83">
        <v>20</v>
      </c>
      <c r="B21" s="81" t="s">
        <v>54</v>
      </c>
      <c r="C21" s="89">
        <f>1.88*5*10</f>
        <v>93.999999999999986</v>
      </c>
      <c r="D21" s="34" t="s">
        <v>124</v>
      </c>
      <c r="E21" s="72" t="s">
        <v>125</v>
      </c>
      <c r="F21" s="30">
        <f>2.15*5*10</f>
        <v>107.5</v>
      </c>
      <c r="G21" s="34" t="s">
        <v>178</v>
      </c>
      <c r="H21" s="71" t="s">
        <v>179</v>
      </c>
    </row>
    <row r="22" spans="1:10" ht="26.25" customHeight="1">
      <c r="A22" s="83">
        <v>21</v>
      </c>
      <c r="B22" s="81" t="s">
        <v>55</v>
      </c>
      <c r="C22" s="89">
        <f>0.781*200*28</f>
        <v>4373.6000000000004</v>
      </c>
      <c r="D22" s="34" t="s">
        <v>180</v>
      </c>
      <c r="E22" s="72" t="s">
        <v>181</v>
      </c>
      <c r="F22" s="30">
        <f>0.781*200*28</f>
        <v>4373.6000000000004</v>
      </c>
      <c r="G22" s="44" t="s">
        <v>182</v>
      </c>
      <c r="H22" s="71" t="s">
        <v>183</v>
      </c>
    </row>
    <row r="23" spans="1:10" ht="26.25" customHeight="1">
      <c r="A23" s="83">
        <v>22</v>
      </c>
      <c r="B23" s="81" t="s">
        <v>56</v>
      </c>
      <c r="C23" s="100">
        <f>2.7*5*10</f>
        <v>135</v>
      </c>
      <c r="D23" s="101" t="s">
        <v>184</v>
      </c>
      <c r="E23" s="102">
        <v>2.6601004794259999E+18</v>
      </c>
      <c r="F23" s="103">
        <f>1.64*10*5</f>
        <v>82</v>
      </c>
      <c r="G23" s="101" t="s">
        <v>185</v>
      </c>
      <c r="H23" s="102">
        <v>3.7436000925250002E+18</v>
      </c>
    </row>
    <row r="24" spans="1:10" ht="22.5" customHeight="1">
      <c r="A24" s="83">
        <v>23</v>
      </c>
      <c r="B24" s="81" t="s">
        <v>57</v>
      </c>
      <c r="C24" s="100">
        <f>15.2*10</f>
        <v>152</v>
      </c>
      <c r="D24" s="101" t="s">
        <v>186</v>
      </c>
      <c r="E24" s="102">
        <v>2.8602000806259999E+18</v>
      </c>
      <c r="F24" s="103">
        <f>11.2*10</f>
        <v>112</v>
      </c>
      <c r="G24" s="101" t="s">
        <v>187</v>
      </c>
      <c r="H24" s="102">
        <v>2.7429001540259999E+18</v>
      </c>
    </row>
    <row r="25" spans="1:10" ht="29.25" customHeight="1">
      <c r="A25" s="83">
        <v>24</v>
      </c>
      <c r="B25" s="81" t="s">
        <v>58</v>
      </c>
      <c r="C25" s="100">
        <f>0.23*10*10</f>
        <v>23.000000000000004</v>
      </c>
      <c r="D25" s="101" t="s">
        <v>188</v>
      </c>
      <c r="E25" s="102">
        <v>3.7438003030259999E+18</v>
      </c>
      <c r="F25" s="103">
        <f>0.238*10*10</f>
        <v>23.799999999999997</v>
      </c>
      <c r="G25" s="34" t="s">
        <v>189</v>
      </c>
      <c r="H25" s="102">
        <v>1.7453215984259999E+18</v>
      </c>
    </row>
    <row r="26" spans="1:10" ht="22.5" customHeight="1">
      <c r="A26" s="83">
        <v>25</v>
      </c>
      <c r="B26" s="81" t="s">
        <v>58</v>
      </c>
      <c r="C26" s="100">
        <f>0.225*200*28</f>
        <v>1260</v>
      </c>
      <c r="D26" s="101" t="s">
        <v>190</v>
      </c>
      <c r="E26" s="102">
        <v>2.3906040840259999E+18</v>
      </c>
      <c r="F26" s="103">
        <f>0.23*200*28</f>
        <v>1288</v>
      </c>
      <c r="G26" s="101" t="s">
        <v>191</v>
      </c>
      <c r="H26" s="102">
        <v>2.2438000047260001E+18</v>
      </c>
    </row>
    <row r="27" spans="1:10" ht="21" customHeight="1">
      <c r="A27" s="83">
        <v>26</v>
      </c>
      <c r="B27" s="81" t="s">
        <v>59</v>
      </c>
      <c r="C27" s="100">
        <f>5.4*30</f>
        <v>162</v>
      </c>
      <c r="D27" s="101" t="s">
        <v>192</v>
      </c>
      <c r="E27" s="102">
        <v>1.2462003962259999E+18</v>
      </c>
      <c r="F27" s="103">
        <f>4.02*30</f>
        <v>120.6</v>
      </c>
      <c r="G27" s="101" t="s">
        <v>193</v>
      </c>
      <c r="H27" s="102">
        <v>2.6318197367260001E+18</v>
      </c>
    </row>
    <row r="28" spans="1:10" ht="24" customHeight="1">
      <c r="A28" s="83">
        <v>27</v>
      </c>
      <c r="B28" s="81" t="s">
        <v>60</v>
      </c>
      <c r="C28" s="100">
        <f>13.73*10*3</f>
        <v>411.90000000000003</v>
      </c>
      <c r="D28" s="101" t="s">
        <v>194</v>
      </c>
      <c r="E28" s="102">
        <v>2.1119000401260001E+18</v>
      </c>
      <c r="F28" s="103">
        <f>14.04*10*3</f>
        <v>421.19999999999993</v>
      </c>
      <c r="G28" s="101" t="s">
        <v>195</v>
      </c>
      <c r="H28" s="102">
        <v>2.9111008629260001E+18</v>
      </c>
    </row>
    <row r="29" spans="1:10" ht="30" customHeight="1">
      <c r="A29" s="83">
        <v>28</v>
      </c>
      <c r="B29" s="81" t="s">
        <v>61</v>
      </c>
      <c r="C29" s="100">
        <f>4.61*10</f>
        <v>46.1</v>
      </c>
      <c r="D29" s="101" t="s">
        <v>124</v>
      </c>
      <c r="E29" s="102">
        <v>3.7404005046259999E+18</v>
      </c>
      <c r="F29" s="103">
        <f>4.5*10</f>
        <v>45</v>
      </c>
      <c r="G29" s="101" t="s">
        <v>196</v>
      </c>
      <c r="H29" s="102">
        <v>2.7114008038259999E+18</v>
      </c>
    </row>
    <row r="30" spans="1:10" ht="22.5" customHeight="1">
      <c r="A30" s="83">
        <v>29</v>
      </c>
      <c r="B30" s="81" t="s">
        <v>62</v>
      </c>
      <c r="C30" s="100">
        <f>1.07*10*10</f>
        <v>107.00000000000001</v>
      </c>
      <c r="D30" s="101" t="s">
        <v>197</v>
      </c>
      <c r="E30" s="102">
        <v>1.111600443026E+18</v>
      </c>
      <c r="F30" s="103">
        <f>1.04*10*10</f>
        <v>104</v>
      </c>
      <c r="G30" s="101" t="s">
        <v>198</v>
      </c>
      <c r="H30" s="102">
        <v>2.2456009483260001E+18</v>
      </c>
    </row>
    <row r="31" spans="1:10" ht="25.5" customHeight="1">
      <c r="A31" s="83">
        <v>30</v>
      </c>
      <c r="B31" s="81" t="s">
        <v>63</v>
      </c>
      <c r="C31" s="100">
        <f>3.57*40</f>
        <v>142.79999999999998</v>
      </c>
      <c r="D31" s="101" t="s">
        <v>199</v>
      </c>
      <c r="E31" s="102">
        <v>1.7204152364259999E+18</v>
      </c>
      <c r="F31" s="103">
        <f>3.5*40</f>
        <v>140</v>
      </c>
      <c r="G31" s="101" t="s">
        <v>200</v>
      </c>
      <c r="H31" s="102">
        <v>2.1216029597260001E+18</v>
      </c>
    </row>
    <row r="32" spans="1:10" ht="24.75" customHeight="1">
      <c r="A32" s="83">
        <v>31</v>
      </c>
      <c r="B32" s="81" t="s">
        <v>64</v>
      </c>
      <c r="C32" s="100">
        <f>1.073*100</f>
        <v>107.3</v>
      </c>
      <c r="D32" s="101" t="s">
        <v>201</v>
      </c>
      <c r="E32" s="102">
        <v>2.4825005230259999E+18</v>
      </c>
      <c r="F32" s="103">
        <f>1.13*100</f>
        <v>112.99999999999999</v>
      </c>
      <c r="G32" s="101" t="s">
        <v>202</v>
      </c>
      <c r="H32" s="102">
        <v>2.1901005310259999E+18</v>
      </c>
    </row>
    <row r="33" spans="1:8" ht="24" customHeight="1">
      <c r="A33" s="83">
        <v>32</v>
      </c>
      <c r="B33" s="81" t="s">
        <v>65</v>
      </c>
      <c r="C33" s="100">
        <f>1.83*10*2</f>
        <v>36.6</v>
      </c>
      <c r="D33" s="101" t="s">
        <v>203</v>
      </c>
      <c r="E33" s="102">
        <v>2.4826010458259999E+18</v>
      </c>
      <c r="F33" s="103">
        <f>1.33*10*2</f>
        <v>26.6</v>
      </c>
      <c r="G33" s="101" t="s">
        <v>204</v>
      </c>
      <c r="H33" s="102">
        <v>1.111700080826E+18</v>
      </c>
    </row>
    <row r="34" spans="1:8" ht="21" customHeight="1">
      <c r="A34" s="83">
        <v>33</v>
      </c>
      <c r="B34" s="81" t="s">
        <v>66</v>
      </c>
      <c r="C34" s="100">
        <f>14.61*5*2</f>
        <v>146.1</v>
      </c>
      <c r="D34" s="101" t="s">
        <v>205</v>
      </c>
      <c r="E34" s="102">
        <v>2.6165023530259999E+18</v>
      </c>
      <c r="F34" s="103">
        <f>8.167*4*5</f>
        <v>163.34</v>
      </c>
      <c r="G34" s="101" t="s">
        <v>206</v>
      </c>
      <c r="H34" s="102">
        <v>3.7404005046259999E+18</v>
      </c>
    </row>
    <row r="35" spans="1:8" ht="43.5" customHeight="1">
      <c r="A35" s="30">
        <v>34</v>
      </c>
      <c r="B35" s="30" t="s">
        <v>229</v>
      </c>
      <c r="C35" s="30">
        <f>319.75*6</f>
        <v>1918.5</v>
      </c>
      <c r="D35" s="107" t="s">
        <v>231</v>
      </c>
      <c r="E35" s="108">
        <v>2.5504039091260001E+18</v>
      </c>
      <c r="F35" s="30">
        <f>309.95*6</f>
        <v>1859.6999999999998</v>
      </c>
      <c r="G35" s="44" t="s">
        <v>232</v>
      </c>
      <c r="H35" s="109">
        <v>1.2452034954259999E+18</v>
      </c>
    </row>
  </sheetData>
  <hyperlinks>
    <hyperlink ref="G4" r:id="rId1" xr:uid="{789C21A5-DF2C-4544-A5F9-0B4042A213A9}"/>
    <hyperlink ref="D5" r:id="rId2" xr:uid="{3DB06A20-37E8-4872-AA05-D35BA299E95A}"/>
    <hyperlink ref="G6" r:id="rId3" xr:uid="{0D3387A0-1353-4220-AF57-7262E97A5878}"/>
    <hyperlink ref="D2" r:id="rId4" xr:uid="{2A6FD5FA-8992-4AD9-A68D-2017BB463121}"/>
    <hyperlink ref="D12" r:id="rId5" xr:uid="{25624513-82CF-4EA1-A477-F86F34E11A20}"/>
    <hyperlink ref="G17" r:id="rId6" xr:uid="{4E4A9E26-D528-40F0-87D6-6609364DFD7C}"/>
    <hyperlink ref="G25" r:id="rId7" xr:uid="{808390FF-2531-423B-B613-2F831298F51E}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F91E1-2D5E-4638-BE8C-2B787FF5F940}">
  <dimension ref="A1:C35"/>
  <sheetViews>
    <sheetView topLeftCell="A30" workbookViewId="0">
      <selection activeCell="B36" sqref="B36"/>
    </sheetView>
  </sheetViews>
  <sheetFormatPr defaultRowHeight="15"/>
  <cols>
    <col min="1" max="2" width="18.42578125" customWidth="1"/>
    <col min="3" max="3" width="31.5703125" customWidth="1"/>
  </cols>
  <sheetData>
    <row r="1" spans="1:3">
      <c r="A1" s="30" t="s">
        <v>67</v>
      </c>
      <c r="B1" s="30" t="s">
        <v>68</v>
      </c>
      <c r="C1" s="30"/>
    </row>
    <row r="2" spans="1:3" ht="63.75">
      <c r="A2" s="81" t="s">
        <v>37</v>
      </c>
      <c r="B2" s="30">
        <f>2772*1.1*1.14</f>
        <v>3476.0880000000002</v>
      </c>
      <c r="C2" s="104" t="s">
        <v>207</v>
      </c>
    </row>
    <row r="3" spans="1:3" ht="89.25">
      <c r="A3" s="81" t="s">
        <v>38</v>
      </c>
      <c r="B3" s="30">
        <f>180*1.16*1.1</f>
        <v>229.68</v>
      </c>
      <c r="C3" s="104" t="s">
        <v>208</v>
      </c>
    </row>
    <row r="4" spans="1:3" ht="76.5">
      <c r="A4" s="81" t="s">
        <v>39</v>
      </c>
      <c r="B4" s="30">
        <f>57.54*1.17*1.1</f>
        <v>74.053979999999996</v>
      </c>
      <c r="C4" s="104" t="s">
        <v>209</v>
      </c>
    </row>
    <row r="5" spans="1:3" ht="89.25">
      <c r="A5" s="81" t="s">
        <v>39</v>
      </c>
      <c r="B5" s="30">
        <f>111.6*1.16*1.1</f>
        <v>142.4016</v>
      </c>
      <c r="C5" s="104" t="s">
        <v>210</v>
      </c>
    </row>
    <row r="6" spans="1:3" ht="63.75">
      <c r="A6" s="81" t="s">
        <v>40</v>
      </c>
      <c r="B6" s="30">
        <f>74.35*1.17*1.1</f>
        <v>95.688450000000003</v>
      </c>
      <c r="C6" s="104" t="s">
        <v>211</v>
      </c>
    </row>
    <row r="7" spans="1:3" ht="63.75">
      <c r="A7" s="81" t="s">
        <v>41</v>
      </c>
      <c r="B7" s="30">
        <f>100.52*1.16*1.1</f>
        <v>128.26352</v>
      </c>
      <c r="C7" s="104" t="s">
        <v>212</v>
      </c>
    </row>
    <row r="8" spans="1:3" ht="51">
      <c r="A8" s="81" t="s">
        <v>42</v>
      </c>
      <c r="B8" s="30">
        <f>76.85*1.17*1.1</f>
        <v>98.90594999999999</v>
      </c>
      <c r="C8" s="104" t="s">
        <v>213</v>
      </c>
    </row>
    <row r="9" spans="1:3" ht="89.25">
      <c r="A9" s="81" t="s">
        <v>42</v>
      </c>
      <c r="B9" s="30">
        <f>133.77*1.16*1.1</f>
        <v>170.69052000000002</v>
      </c>
      <c r="C9" s="104" t="s">
        <v>214</v>
      </c>
    </row>
    <row r="10" spans="1:3" ht="25.5">
      <c r="A10" s="81" t="s">
        <v>43</v>
      </c>
      <c r="B10" s="30">
        <f>110*1.16*1.1</f>
        <v>140.36000000000001</v>
      </c>
      <c r="C10" s="104" t="s">
        <v>215</v>
      </c>
    </row>
    <row r="11" spans="1:3" ht="114.75">
      <c r="A11" s="81" t="s">
        <v>44</v>
      </c>
      <c r="B11" s="30">
        <f>1273.35*1.14*1.1</f>
        <v>1596.7808999999997</v>
      </c>
      <c r="C11" s="104" t="s">
        <v>216</v>
      </c>
    </row>
    <row r="12" spans="1:3" ht="127.5">
      <c r="A12" s="81" t="s">
        <v>45</v>
      </c>
      <c r="B12" s="30">
        <f>1082.46*1.14*1.1</f>
        <v>1357.4048400000001</v>
      </c>
      <c r="C12" s="104" t="s">
        <v>217</v>
      </c>
    </row>
    <row r="13" spans="1:3" ht="63.75">
      <c r="A13" s="81" t="s">
        <v>46</v>
      </c>
      <c r="B13" s="30">
        <f>64.79*1.17*1.1</f>
        <v>83.384730000000005</v>
      </c>
      <c r="C13" s="104" t="s">
        <v>218</v>
      </c>
    </row>
    <row r="14" spans="1:3" ht="63.75">
      <c r="A14" s="81" t="s">
        <v>47</v>
      </c>
      <c r="B14" s="30">
        <f>38.89*1.17*1.1</f>
        <v>50.051430000000003</v>
      </c>
      <c r="C14" s="104" t="s">
        <v>219</v>
      </c>
    </row>
    <row r="15" spans="1:3" ht="89.25">
      <c r="A15" s="81" t="s">
        <v>48</v>
      </c>
      <c r="B15" s="30">
        <f>61.76*1.17*1.1</f>
        <v>79.485119999999995</v>
      </c>
      <c r="C15" s="104" t="s">
        <v>220</v>
      </c>
    </row>
    <row r="16" spans="1:3" ht="89.25">
      <c r="A16" s="81" t="s">
        <v>49</v>
      </c>
      <c r="B16" s="30">
        <f>717.8*1.14*1.1</f>
        <v>900.12119999999993</v>
      </c>
      <c r="C16" s="104" t="s">
        <v>221</v>
      </c>
    </row>
    <row r="17" spans="1:3" ht="25.5">
      <c r="A17" s="81" t="s">
        <v>50</v>
      </c>
      <c r="B17" s="30">
        <f>87.74*1.17*1.1</f>
        <v>112.92138</v>
      </c>
      <c r="C17" s="104" t="s">
        <v>222</v>
      </c>
    </row>
    <row r="18" spans="1:3" ht="51">
      <c r="A18" s="82" t="s">
        <v>51</v>
      </c>
      <c r="B18" s="30">
        <f>111.24*1.16*1.1</f>
        <v>141.94224</v>
      </c>
      <c r="C18" s="104" t="s">
        <v>223</v>
      </c>
    </row>
    <row r="19" spans="1:3" ht="51">
      <c r="A19" s="81" t="s">
        <v>52</v>
      </c>
      <c r="B19" s="30">
        <f>251.82*1.16*1.1</f>
        <v>321.32232000000005</v>
      </c>
      <c r="C19" s="104" t="s">
        <v>224</v>
      </c>
    </row>
    <row r="20" spans="1:3" ht="89.25">
      <c r="A20" s="82" t="s">
        <v>53</v>
      </c>
      <c r="B20" s="30">
        <f>2077.56*1.14*1.1</f>
        <v>2605.2602399999996</v>
      </c>
      <c r="C20" s="104" t="s">
        <v>225</v>
      </c>
    </row>
    <row r="21" spans="1:3" ht="63.75">
      <c r="A21" s="81" t="s">
        <v>54</v>
      </c>
      <c r="B21" s="30">
        <f>81.59*1.17*1.1</f>
        <v>105.00633000000001</v>
      </c>
      <c r="C21" s="104" t="s">
        <v>219</v>
      </c>
    </row>
    <row r="22" spans="1:3" ht="63.75">
      <c r="A22" s="81" t="s">
        <v>55</v>
      </c>
      <c r="B22" s="30">
        <f>3976*1.14*1.1</f>
        <v>4985.9039999999995</v>
      </c>
      <c r="C22" s="104" t="s">
        <v>219</v>
      </c>
    </row>
    <row r="23" spans="1:3" ht="63.75">
      <c r="A23" s="81" t="s">
        <v>56</v>
      </c>
      <c r="B23" s="30">
        <f>105.95*1.17*1.1</f>
        <v>136.35765000000001</v>
      </c>
      <c r="C23" s="104" t="s">
        <v>226</v>
      </c>
    </row>
    <row r="24" spans="1:3" ht="63.75">
      <c r="A24" s="81" t="s">
        <v>57</v>
      </c>
      <c r="B24" s="30">
        <f>124.87*1.16*1.1</f>
        <v>159.33412000000001</v>
      </c>
      <c r="C24" s="104" t="s">
        <v>219</v>
      </c>
    </row>
    <row r="25" spans="1:3" ht="63.75">
      <c r="A25" s="81" t="s">
        <v>58</v>
      </c>
      <c r="B25" s="30">
        <f>53.37*1.17*1.1</f>
        <v>68.687190000000001</v>
      </c>
      <c r="C25" s="104" t="s">
        <v>219</v>
      </c>
    </row>
    <row r="26" spans="1:3" ht="63.75">
      <c r="A26" s="81" t="s">
        <v>58</v>
      </c>
      <c r="B26" s="30">
        <f>1064*1.14*1.1</f>
        <v>1334.2559999999999</v>
      </c>
      <c r="C26" s="104" t="s">
        <v>207</v>
      </c>
    </row>
    <row r="27" spans="1:3" ht="89.25">
      <c r="A27" s="81" t="s">
        <v>59</v>
      </c>
      <c r="B27" s="30">
        <f>212.2*1.16*1.1</f>
        <v>270.7672</v>
      </c>
      <c r="C27" s="104" t="s">
        <v>214</v>
      </c>
    </row>
    <row r="28" spans="1:3" ht="89.25">
      <c r="A28" s="81" t="s">
        <v>60</v>
      </c>
      <c r="B28" s="30">
        <f>351.3*1.16*1.1</f>
        <v>448.25880000000001</v>
      </c>
      <c r="C28" s="104" t="s">
        <v>221</v>
      </c>
    </row>
    <row r="29" spans="1:3" ht="63.75">
      <c r="A29" s="81" t="s">
        <v>61</v>
      </c>
      <c r="B29" s="30">
        <f>40.14*1.17*1.1</f>
        <v>51.660180000000004</v>
      </c>
      <c r="C29" s="104" t="s">
        <v>219</v>
      </c>
    </row>
    <row r="30" spans="1:3" ht="63.75">
      <c r="A30" s="81" t="s">
        <v>62</v>
      </c>
      <c r="B30" s="30">
        <f>84.4*1.17*1.1</f>
        <v>108.62280000000001</v>
      </c>
      <c r="C30" s="104" t="s">
        <v>219</v>
      </c>
    </row>
    <row r="31" spans="1:3" ht="63.75">
      <c r="A31" s="81" t="s">
        <v>63</v>
      </c>
      <c r="B31" s="30">
        <f>113.3*1.16*1.1</f>
        <v>144.57080000000002</v>
      </c>
      <c r="C31" s="104" t="s">
        <v>227</v>
      </c>
    </row>
    <row r="32" spans="1:3" ht="63.75">
      <c r="A32" s="81" t="s">
        <v>64</v>
      </c>
      <c r="B32" s="30">
        <f>80*1.17*1.1</f>
        <v>102.96000000000001</v>
      </c>
      <c r="C32" s="104" t="s">
        <v>207</v>
      </c>
    </row>
    <row r="33" spans="1:3" ht="38.25">
      <c r="A33" s="81" t="s">
        <v>65</v>
      </c>
      <c r="B33" s="30">
        <f>29.61*1.17*1.1</f>
        <v>38.108069999999998</v>
      </c>
      <c r="C33" s="104" t="s">
        <v>228</v>
      </c>
    </row>
    <row r="34" spans="1:3" ht="51">
      <c r="A34" s="81" t="s">
        <v>66</v>
      </c>
      <c r="B34" s="30">
        <f>222.44*1.16*1.1</f>
        <v>283.83344</v>
      </c>
      <c r="C34" s="104" t="s">
        <v>223</v>
      </c>
    </row>
    <row r="35" spans="1:3" ht="29.25" customHeight="1">
      <c r="A35" s="30" t="s">
        <v>229</v>
      </c>
      <c r="B35" s="30">
        <f>1542.22*1.1*1.14</f>
        <v>1933.94388</v>
      </c>
      <c r="C35" s="104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Обоснование</vt:lpstr>
      <vt:lpstr>ЕИС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2026-10-13T10:03:19Z</dcterms:modified>
</cp:coreProperties>
</file>